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+g+R5+Dm+YHv3xJ/7C2Xk/xzEqdhFv5vOtXgBGOlHCBBiXW555w0U4AIeVPuCcFou5iQn23T0kSJbuxGqQBxg==" workbookSaltValue="Wl3vd8PqOagM0mnlD57oRA==" workbookSpinCount="100000" lockStructure="1"/>
  <bookViews>
    <workbookView xWindow="-15" yWindow="30" windowWidth="10260" windowHeight="8070" firstSheet="1" activeTab="15"/>
  </bookViews>
  <sheets>
    <sheet name="SET SP Tarquí" sheetId="1" r:id="rId1"/>
    <sheet name="01" sheetId="55" r:id="rId2"/>
    <sheet name="02" sheetId="56" r:id="rId3"/>
    <sheet name="03" sheetId="60" r:id="rId4"/>
    <sheet name="04" sheetId="61" r:id="rId5"/>
    <sheet name="05" sheetId="62" r:id="rId6"/>
    <sheet name="06" sheetId="36" r:id="rId7"/>
    <sheet name="07" sheetId="38" r:id="rId8"/>
    <sheet name="08" sheetId="58" r:id="rId9"/>
    <sheet name="09" sheetId="59" r:id="rId10"/>
    <sheet name="10" sheetId="63" r:id="rId11"/>
    <sheet name="11" sheetId="64" r:id="rId12"/>
    <sheet name="12" sheetId="65" r:id="rId13"/>
    <sheet name="13" sheetId="68" r:id="rId14"/>
    <sheet name="14" sheetId="66" r:id="rId15"/>
    <sheet name="TARQUI-18" sheetId="69" r:id="rId16"/>
  </sheets>
  <definedNames>
    <definedName name="_xlnm.Print_Area" localSheetId="15">'TARQUI-18'!$A$1:$J$95</definedName>
    <definedName name="_xlnm.Print_Titles" localSheetId="0">'SET SP Tarquí'!$1:$5</definedName>
  </definedNames>
  <calcPr calcId="144525"/>
</workbook>
</file>

<file path=xl/calcChain.xml><?xml version="1.0" encoding="utf-8"?>
<calcChain xmlns="http://schemas.openxmlformats.org/spreadsheetml/2006/main">
  <c r="P36" i="69" l="1"/>
  <c r="L37" i="69"/>
  <c r="O23" i="69" l="1"/>
  <c r="O21" i="69"/>
  <c r="O17" i="69"/>
  <c r="O15" i="69"/>
  <c r="O22" i="69"/>
  <c r="O20" i="69"/>
  <c r="O16" i="69"/>
  <c r="O14" i="69"/>
  <c r="N23" i="69" l="1"/>
  <c r="N21" i="69"/>
  <c r="N17" i="69"/>
  <c r="N15" i="69"/>
  <c r="N22" i="69"/>
  <c r="N20" i="69"/>
  <c r="N16" i="69"/>
  <c r="N14" i="69"/>
  <c r="M23" i="69" l="1"/>
  <c r="M21" i="69"/>
  <c r="M17" i="69"/>
  <c r="M15" i="69"/>
  <c r="M22" i="69"/>
  <c r="M20" i="69"/>
  <c r="M16" i="69"/>
  <c r="M14" i="69"/>
  <c r="L53" i="69" l="1"/>
  <c r="L23" i="69"/>
  <c r="L21" i="69"/>
  <c r="L17" i="69"/>
  <c r="L15" i="69"/>
  <c r="L22" i="69"/>
  <c r="L20" i="69"/>
  <c r="L16" i="69"/>
  <c r="L14" i="69"/>
  <c r="K23" i="69" l="1"/>
  <c r="K21" i="69"/>
  <c r="K17" i="69"/>
  <c r="K15" i="69"/>
  <c r="K22" i="69"/>
  <c r="K20" i="69"/>
  <c r="K16" i="69"/>
  <c r="K14" i="69"/>
  <c r="J23" i="69" l="1"/>
  <c r="J21" i="69"/>
  <c r="J17" i="69"/>
  <c r="J15" i="69"/>
  <c r="J16" i="69"/>
  <c r="J14" i="69"/>
  <c r="J22" i="69"/>
  <c r="J20" i="69"/>
  <c r="I23" i="69" l="1"/>
  <c r="I21" i="69"/>
  <c r="I17" i="69"/>
  <c r="I15" i="69"/>
  <c r="I22" i="69"/>
  <c r="I20" i="69"/>
  <c r="I16" i="69"/>
  <c r="I14" i="69"/>
  <c r="H23" i="69" l="1"/>
  <c r="H21" i="69"/>
  <c r="H17" i="69"/>
  <c r="H15" i="69"/>
  <c r="H22" i="69"/>
  <c r="H20" i="69"/>
  <c r="H16" i="69"/>
  <c r="H14" i="69"/>
  <c r="G23" i="69" l="1"/>
  <c r="G21" i="69"/>
  <c r="G17" i="69"/>
  <c r="G15" i="69"/>
  <c r="F23" i="69"/>
  <c r="F21" i="69"/>
  <c r="F17" i="69"/>
  <c r="F15" i="69"/>
  <c r="G22" i="69"/>
  <c r="G20" i="69"/>
  <c r="G16" i="69"/>
  <c r="G14" i="69"/>
  <c r="F22" i="69"/>
  <c r="F20" i="69"/>
  <c r="F16" i="69"/>
  <c r="F14" i="69"/>
  <c r="E23" i="69" l="1"/>
  <c r="E21" i="69"/>
  <c r="E17" i="69"/>
  <c r="E15" i="69"/>
  <c r="D23" i="69"/>
  <c r="D21" i="69"/>
  <c r="D17" i="69"/>
  <c r="D15" i="69"/>
  <c r="E22" i="69"/>
  <c r="E20" i="69"/>
  <c r="E16" i="69"/>
  <c r="E14" i="69"/>
  <c r="D22" i="69"/>
  <c r="D20" i="69"/>
  <c r="D18" i="69"/>
  <c r="D16" i="69"/>
  <c r="D14" i="69"/>
  <c r="F27" i="69" l="1"/>
  <c r="F30" i="69"/>
  <c r="F31" i="69"/>
  <c r="F29" i="69"/>
  <c r="F28" i="69"/>
  <c r="F26" i="69" l="1"/>
  <c r="F32" i="69" s="1"/>
  <c r="F33" i="69"/>
  <c r="K69" i="69" l="1"/>
  <c r="L69" i="69"/>
  <c r="M69" i="69"/>
  <c r="N69" i="69"/>
  <c r="O69" i="69"/>
  <c r="K68" i="69"/>
  <c r="L68" i="69"/>
  <c r="M68" i="69"/>
  <c r="N68" i="69"/>
  <c r="O68" i="69"/>
  <c r="K18" i="68" l="1"/>
  <c r="L18" i="68"/>
  <c r="M18" i="68"/>
  <c r="N18" i="68"/>
  <c r="D18" i="68"/>
  <c r="E18" i="68"/>
  <c r="F18" i="68"/>
  <c r="G18" i="68"/>
  <c r="H18" i="68"/>
  <c r="I18" i="68"/>
  <c r="J18" i="68"/>
  <c r="C18" i="68"/>
  <c r="D18" i="64"/>
  <c r="E18" i="64"/>
  <c r="F18" i="64"/>
  <c r="G18" i="64"/>
  <c r="H18" i="64"/>
  <c r="I18" i="64"/>
  <c r="J18" i="64"/>
  <c r="K18" i="64"/>
  <c r="L18" i="64"/>
  <c r="M18" i="64"/>
  <c r="N18" i="64"/>
  <c r="C18" i="64"/>
  <c r="K18" i="58"/>
  <c r="L18" i="58"/>
  <c r="M18" i="58"/>
  <c r="N18" i="58"/>
  <c r="D18" i="58"/>
  <c r="E18" i="58"/>
  <c r="F18" i="58"/>
  <c r="G18" i="58"/>
  <c r="H18" i="58"/>
  <c r="I18" i="58"/>
  <c r="J18" i="58"/>
  <c r="C18" i="58"/>
  <c r="K18" i="63" l="1"/>
  <c r="L18" i="63"/>
  <c r="M18" i="63"/>
  <c r="N18" i="63"/>
  <c r="K19" i="63"/>
  <c r="L19" i="63"/>
  <c r="M19" i="63"/>
  <c r="N19" i="63"/>
  <c r="D17" i="59"/>
  <c r="E17" i="59"/>
  <c r="F17" i="59"/>
  <c r="G17" i="59"/>
  <c r="H17" i="59"/>
  <c r="I17" i="59"/>
  <c r="J17" i="59"/>
  <c r="K17" i="59"/>
  <c r="L17" i="59"/>
  <c r="M17" i="59"/>
  <c r="N17" i="59"/>
  <c r="C17" i="59"/>
  <c r="K18" i="38"/>
  <c r="K18" i="66" s="1"/>
  <c r="L18" i="38"/>
  <c r="L18" i="66" s="1"/>
  <c r="M18" i="38"/>
  <c r="M18" i="66" s="1"/>
  <c r="N18" i="38"/>
  <c r="N18" i="66" s="1"/>
  <c r="K18" i="36"/>
  <c r="L18" i="36"/>
  <c r="M18" i="36"/>
  <c r="N18" i="36"/>
  <c r="K18" i="62"/>
  <c r="K19" i="68" s="1"/>
  <c r="L18" i="62"/>
  <c r="L19" i="58" s="1"/>
  <c r="M18" i="62"/>
  <c r="M19" i="68" s="1"/>
  <c r="N18" i="62"/>
  <c r="N19" i="58" s="1"/>
  <c r="K19" i="62"/>
  <c r="K19" i="36" s="1"/>
  <c r="L19" i="62"/>
  <c r="L19" i="36" s="1"/>
  <c r="M19" i="62"/>
  <c r="M19" i="36" s="1"/>
  <c r="N19" i="62"/>
  <c r="N19" i="36" s="1"/>
  <c r="K18" i="55"/>
  <c r="L18" i="55"/>
  <c r="M18" i="55"/>
  <c r="N18" i="55"/>
  <c r="K19" i="55"/>
  <c r="K19" i="60" s="1"/>
  <c r="L19" i="55"/>
  <c r="L19" i="60" s="1"/>
  <c r="M19" i="55"/>
  <c r="M19" i="60" s="1"/>
  <c r="N19" i="55"/>
  <c r="N19" i="60" s="1"/>
  <c r="H43" i="69"/>
  <c r="H44" i="69"/>
  <c r="M19" i="58" l="1"/>
  <c r="K19" i="58"/>
  <c r="N19" i="68"/>
  <c r="L19" i="68"/>
  <c r="O16" i="66"/>
  <c r="C16" i="66" s="1"/>
  <c r="O15" i="66"/>
  <c r="C15" i="66" s="1"/>
  <c r="O16" i="68"/>
  <c r="C16" i="68" s="1"/>
  <c r="O15" i="68"/>
  <c r="C15" i="68" s="1"/>
  <c r="O16" i="65"/>
  <c r="C16" i="65" s="1"/>
  <c r="O15" i="65"/>
  <c r="C15" i="65" s="1"/>
  <c r="O16" i="64"/>
  <c r="C16" i="64" s="1"/>
  <c r="O15" i="64"/>
  <c r="C15" i="64" s="1"/>
  <c r="O16" i="63"/>
  <c r="C16" i="63" s="1"/>
  <c r="O15" i="63"/>
  <c r="C15" i="63" s="1"/>
  <c r="O16" i="59"/>
  <c r="C16" i="59" s="1"/>
  <c r="O15" i="59"/>
  <c r="C15" i="59" s="1"/>
  <c r="O16" i="58"/>
  <c r="C16" i="58" s="1"/>
  <c r="O15" i="58"/>
  <c r="C15" i="58" s="1"/>
  <c r="O16" i="38"/>
  <c r="C16" i="38" s="1"/>
  <c r="O15" i="38"/>
  <c r="C15" i="38" s="1"/>
  <c r="O16" i="36"/>
  <c r="C16" i="36" s="1"/>
  <c r="O15" i="36"/>
  <c r="C15" i="36" s="1"/>
  <c r="O16" i="62"/>
  <c r="C16" i="62" s="1"/>
  <c r="O15" i="62"/>
  <c r="C15" i="62" s="1"/>
  <c r="O16" i="61"/>
  <c r="C16" i="61" s="1"/>
  <c r="O15" i="61"/>
  <c r="C15" i="61" s="1"/>
  <c r="O16" i="60"/>
  <c r="C16" i="60" s="1"/>
  <c r="O15" i="60"/>
  <c r="C15" i="60" s="1"/>
  <c r="O16" i="56"/>
  <c r="C16" i="56" s="1"/>
  <c r="O15" i="56"/>
  <c r="C15" i="56" s="1"/>
  <c r="O16" i="55"/>
  <c r="C16" i="55" s="1"/>
  <c r="O15" i="55"/>
  <c r="C15" i="55" s="1"/>
  <c r="D19" i="63" l="1"/>
  <c r="E19" i="63"/>
  <c r="F19" i="63"/>
  <c r="G19" i="63"/>
  <c r="H19" i="63"/>
  <c r="I19" i="63"/>
  <c r="J19" i="63"/>
  <c r="C19" i="63"/>
  <c r="D18" i="63"/>
  <c r="E18" i="63"/>
  <c r="F18" i="63"/>
  <c r="G18" i="63"/>
  <c r="H18" i="63"/>
  <c r="I18" i="63"/>
  <c r="J18" i="63"/>
  <c r="C18" i="63"/>
  <c r="D18" i="38"/>
  <c r="D18" i="66" s="1"/>
  <c r="E18" i="38"/>
  <c r="E18" i="66" s="1"/>
  <c r="F18" i="38"/>
  <c r="F18" i="66" s="1"/>
  <c r="G18" i="38"/>
  <c r="G18" i="66" s="1"/>
  <c r="H18" i="38"/>
  <c r="H18" i="66" s="1"/>
  <c r="I18" i="38"/>
  <c r="I18" i="66" s="1"/>
  <c r="J18" i="38"/>
  <c r="J18" i="66" s="1"/>
  <c r="C18" i="38"/>
  <c r="C18" i="66" s="1"/>
  <c r="D18" i="36"/>
  <c r="F18" i="36"/>
  <c r="G18" i="36"/>
  <c r="H18" i="36"/>
  <c r="I18" i="36"/>
  <c r="J18" i="36"/>
  <c r="C18" i="36"/>
  <c r="H19" i="62"/>
  <c r="I19" i="62"/>
  <c r="J19" i="62"/>
  <c r="C19" i="62"/>
  <c r="D18" i="62"/>
  <c r="E18" i="62"/>
  <c r="F18" i="62"/>
  <c r="G18" i="62"/>
  <c r="H18" i="62"/>
  <c r="I18" i="62"/>
  <c r="J18" i="62"/>
  <c r="C18" i="62"/>
  <c r="J69" i="69" l="1"/>
  <c r="I69" i="69"/>
  <c r="H69" i="69"/>
  <c r="G69" i="69"/>
  <c r="F69" i="69"/>
  <c r="E69" i="69"/>
  <c r="D69" i="69"/>
  <c r="J68" i="69"/>
  <c r="I68" i="69"/>
  <c r="H68" i="69"/>
  <c r="G68" i="69"/>
  <c r="F68" i="69"/>
  <c r="E68" i="69"/>
  <c r="D68" i="69"/>
  <c r="O63" i="69"/>
  <c r="N63" i="69"/>
  <c r="M63" i="69"/>
  <c r="L63" i="69"/>
  <c r="K63" i="69"/>
  <c r="J63" i="69"/>
  <c r="I63" i="69"/>
  <c r="H63" i="69"/>
  <c r="G63" i="69"/>
  <c r="F63" i="69"/>
  <c r="D63" i="69"/>
  <c r="O62" i="69"/>
  <c r="N62" i="69"/>
  <c r="M62" i="69"/>
  <c r="L62" i="69"/>
  <c r="I62" i="69"/>
  <c r="O61" i="69"/>
  <c r="N61" i="69"/>
  <c r="M61" i="69"/>
  <c r="L61" i="69"/>
  <c r="O60" i="69"/>
  <c r="N60" i="69"/>
  <c r="M60" i="69"/>
  <c r="L60" i="69"/>
  <c r="K60" i="69"/>
  <c r="J60" i="69"/>
  <c r="H60" i="69"/>
  <c r="G60" i="69"/>
  <c r="E60" i="69"/>
  <c r="O59" i="69"/>
  <c r="N59" i="69"/>
  <c r="M59" i="69"/>
  <c r="L59" i="69"/>
  <c r="O58" i="69"/>
  <c r="N58" i="69"/>
  <c r="M58" i="69"/>
  <c r="L58" i="69"/>
  <c r="E58" i="69"/>
  <c r="O57" i="69"/>
  <c r="N57" i="69"/>
  <c r="M57" i="69"/>
  <c r="L57" i="69"/>
  <c r="K57" i="69"/>
  <c r="J57" i="69"/>
  <c r="I57" i="69"/>
  <c r="H57" i="69"/>
  <c r="G57" i="69"/>
  <c r="F57" i="69"/>
  <c r="E57" i="69"/>
  <c r="D57" i="69"/>
  <c r="O55" i="69"/>
  <c r="N19" i="38" s="1"/>
  <c r="N55" i="69"/>
  <c r="M19" i="38" s="1"/>
  <c r="M55" i="69"/>
  <c r="L19" i="38" s="1"/>
  <c r="L55" i="69"/>
  <c r="K19" i="38" s="1"/>
  <c r="K55" i="69"/>
  <c r="J19" i="38" s="1"/>
  <c r="J17" i="38" s="1"/>
  <c r="J55" i="69"/>
  <c r="I19" i="38" s="1"/>
  <c r="I17" i="38" s="1"/>
  <c r="I55" i="69"/>
  <c r="H19" i="38" s="1"/>
  <c r="H17" i="38" s="1"/>
  <c r="D55" i="69"/>
  <c r="C19" i="38" s="1"/>
  <c r="C17" i="38" s="1"/>
  <c r="O54" i="69"/>
  <c r="N54" i="69"/>
  <c r="M54" i="69"/>
  <c r="L54" i="69"/>
  <c r="K54" i="69"/>
  <c r="J54" i="69"/>
  <c r="I54" i="69"/>
  <c r="D54" i="69"/>
  <c r="O53" i="69"/>
  <c r="N53" i="69"/>
  <c r="M53" i="69"/>
  <c r="K53" i="69"/>
  <c r="J53" i="69"/>
  <c r="I53" i="69"/>
  <c r="D53" i="69"/>
  <c r="O47" i="69"/>
  <c r="N47" i="69"/>
  <c r="M47" i="69"/>
  <c r="L47" i="69"/>
  <c r="O46" i="69"/>
  <c r="N46" i="69"/>
  <c r="M46" i="69"/>
  <c r="L46" i="69"/>
  <c r="D46" i="69"/>
  <c r="O44" i="69"/>
  <c r="N44" i="69"/>
  <c r="M44" i="69"/>
  <c r="L44" i="69"/>
  <c r="O43" i="69"/>
  <c r="N43" i="69"/>
  <c r="M43" i="69"/>
  <c r="L43" i="69"/>
  <c r="D42" i="69"/>
  <c r="D45" i="69" s="1"/>
  <c r="O31" i="69"/>
  <c r="N31" i="69"/>
  <c r="M31" i="69"/>
  <c r="L31" i="69"/>
  <c r="K31" i="69"/>
  <c r="J31" i="69"/>
  <c r="I31" i="69"/>
  <c r="H31" i="69"/>
  <c r="G31" i="69"/>
  <c r="D31" i="69"/>
  <c r="O30" i="69"/>
  <c r="N30" i="69"/>
  <c r="M30" i="69"/>
  <c r="L30" i="69"/>
  <c r="K30" i="69"/>
  <c r="J30" i="69"/>
  <c r="H30" i="69"/>
  <c r="G30" i="69"/>
  <c r="O29" i="69"/>
  <c r="N29" i="69"/>
  <c r="M29" i="69"/>
  <c r="L29" i="69"/>
  <c r="O28" i="69"/>
  <c r="N28" i="69"/>
  <c r="M28" i="69"/>
  <c r="L28" i="69"/>
  <c r="O27" i="69"/>
  <c r="N27" i="69"/>
  <c r="M27" i="69"/>
  <c r="L27" i="69"/>
  <c r="O26" i="69"/>
  <c r="N26" i="69"/>
  <c r="M26" i="69"/>
  <c r="L26" i="69"/>
  <c r="E26" i="69"/>
  <c r="E31" i="69"/>
  <c r="E62" i="69"/>
  <c r="K47" i="69"/>
  <c r="J47" i="69"/>
  <c r="I47" i="69"/>
  <c r="G47" i="69"/>
  <c r="F47" i="69"/>
  <c r="E47" i="69"/>
  <c r="K46" i="69"/>
  <c r="J46" i="69"/>
  <c r="I46" i="69"/>
  <c r="H46" i="69"/>
  <c r="G46" i="69"/>
  <c r="F46" i="69"/>
  <c r="E46" i="69"/>
  <c r="I60" i="69"/>
  <c r="F60" i="69"/>
  <c r="E30" i="69"/>
  <c r="D60" i="69"/>
  <c r="K29" i="69"/>
  <c r="J29" i="69"/>
  <c r="I29" i="69"/>
  <c r="G29" i="69"/>
  <c r="E29" i="69"/>
  <c r="D29" i="69"/>
  <c r="K28" i="69"/>
  <c r="J28" i="69"/>
  <c r="I28" i="69"/>
  <c r="H28" i="69"/>
  <c r="G28" i="69"/>
  <c r="E28" i="69"/>
  <c r="D28" i="69"/>
  <c r="I58" i="69"/>
  <c r="I26" i="69"/>
  <c r="E18" i="36"/>
  <c r="E4" i="69"/>
  <c r="F4" i="69" s="1"/>
  <c r="N19" i="56" l="1"/>
  <c r="L19" i="56"/>
  <c r="M18" i="56"/>
  <c r="K18" i="56"/>
  <c r="L32" i="69"/>
  <c r="K19" i="56"/>
  <c r="N32" i="69"/>
  <c r="M19" i="56"/>
  <c r="L19" i="66"/>
  <c r="L17" i="38"/>
  <c r="N19" i="66"/>
  <c r="N17" i="38"/>
  <c r="G66" i="69"/>
  <c r="K19" i="66"/>
  <c r="K17" i="38"/>
  <c r="M19" i="66"/>
  <c r="M17" i="38"/>
  <c r="L18" i="56"/>
  <c r="N18" i="56"/>
  <c r="M66" i="69"/>
  <c r="L49" i="69"/>
  <c r="F43" i="69"/>
  <c r="E19" i="55"/>
  <c r="E19" i="60" s="1"/>
  <c r="J44" i="69"/>
  <c r="I18" i="55"/>
  <c r="G43" i="69"/>
  <c r="F19" i="55"/>
  <c r="F19" i="60" s="1"/>
  <c r="K43" i="69"/>
  <c r="J19" i="55"/>
  <c r="J19" i="60" s="1"/>
  <c r="G44" i="69"/>
  <c r="F18" i="55"/>
  <c r="K44" i="69"/>
  <c r="J18" i="55"/>
  <c r="G62" i="69"/>
  <c r="K62" i="69"/>
  <c r="H66" i="69"/>
  <c r="L66" i="69"/>
  <c r="M48" i="69"/>
  <c r="M49" i="69"/>
  <c r="E61" i="69"/>
  <c r="J43" i="69"/>
  <c r="I19" i="55"/>
  <c r="I19" i="60" s="1"/>
  <c r="F62" i="69"/>
  <c r="D26" i="69"/>
  <c r="C19" i="55"/>
  <c r="C19" i="60" s="1"/>
  <c r="H26" i="69"/>
  <c r="G19" i="56" s="1"/>
  <c r="G19" i="55"/>
  <c r="G19" i="60" s="1"/>
  <c r="D58" i="69"/>
  <c r="C18" i="55"/>
  <c r="H58" i="69"/>
  <c r="G18" i="55"/>
  <c r="D59" i="69"/>
  <c r="H59" i="69"/>
  <c r="D61" i="69"/>
  <c r="H61" i="69"/>
  <c r="D62" i="69"/>
  <c r="H62" i="69"/>
  <c r="J27" i="69"/>
  <c r="J33" i="69" s="1"/>
  <c r="H29" i="69"/>
  <c r="H65" i="69" s="1"/>
  <c r="D43" i="69"/>
  <c r="D47" i="69"/>
  <c r="D49" i="69" s="1"/>
  <c r="N49" i="69"/>
  <c r="E59" i="69"/>
  <c r="I61" i="69"/>
  <c r="E63" i="69"/>
  <c r="E55" i="69"/>
  <c r="D19" i="38" s="1"/>
  <c r="D17" i="38" s="1"/>
  <c r="D19" i="62"/>
  <c r="F44" i="69"/>
  <c r="E18" i="55"/>
  <c r="J62" i="69"/>
  <c r="E43" i="69"/>
  <c r="D19" i="55"/>
  <c r="D19" i="60" s="1"/>
  <c r="I43" i="69"/>
  <c r="H19" i="55"/>
  <c r="H19" i="60" s="1"/>
  <c r="E27" i="69"/>
  <c r="D18" i="56" s="1"/>
  <c r="D18" i="55"/>
  <c r="I27" i="69"/>
  <c r="H18" i="56" s="1"/>
  <c r="H18" i="55"/>
  <c r="E66" i="69"/>
  <c r="M32" i="69"/>
  <c r="L64" i="69"/>
  <c r="M65" i="69"/>
  <c r="L65" i="69"/>
  <c r="J66" i="69"/>
  <c r="N33" i="69"/>
  <c r="D44" i="69"/>
  <c r="H47" i="69"/>
  <c r="H49" i="69" s="1"/>
  <c r="O49" i="69"/>
  <c r="I59" i="69"/>
  <c r="D19" i="56"/>
  <c r="O33" i="69"/>
  <c r="N48" i="69"/>
  <c r="E18" i="56"/>
  <c r="N64" i="69"/>
  <c r="O32" i="69"/>
  <c r="N65" i="69"/>
  <c r="O48" i="69"/>
  <c r="H32" i="69"/>
  <c r="O64" i="69"/>
  <c r="O65" i="69"/>
  <c r="M33" i="69"/>
  <c r="L48" i="69"/>
  <c r="H48" i="69"/>
  <c r="G65" i="69"/>
  <c r="G4" i="69"/>
  <c r="F42" i="69"/>
  <c r="F45" i="69" s="1"/>
  <c r="E65" i="69"/>
  <c r="I65" i="69"/>
  <c r="E49" i="69"/>
  <c r="I49" i="69"/>
  <c r="K65" i="69"/>
  <c r="F65" i="69"/>
  <c r="J65" i="69"/>
  <c r="F49" i="69"/>
  <c r="J49" i="69"/>
  <c r="E32" i="69"/>
  <c r="G49" i="69"/>
  <c r="K49" i="69"/>
  <c r="D65" i="69"/>
  <c r="L33" i="69"/>
  <c r="E53" i="69"/>
  <c r="E19" i="62"/>
  <c r="J26" i="69"/>
  <c r="G27" i="69"/>
  <c r="F18" i="56" s="1"/>
  <c r="K27" i="69"/>
  <c r="J18" i="56" s="1"/>
  <c r="F66" i="69"/>
  <c r="E42" i="69"/>
  <c r="E45" i="69" s="1"/>
  <c r="E44" i="69"/>
  <c r="I44" i="69"/>
  <c r="F58" i="69"/>
  <c r="J58" i="69"/>
  <c r="F59" i="69"/>
  <c r="J59" i="69"/>
  <c r="F61" i="69"/>
  <c r="J61" i="69"/>
  <c r="N66" i="69"/>
  <c r="I30" i="69"/>
  <c r="I66" i="69" s="1"/>
  <c r="M64" i="69"/>
  <c r="G26" i="69"/>
  <c r="K26" i="69"/>
  <c r="D27" i="69"/>
  <c r="C18" i="56" s="1"/>
  <c r="H27" i="69"/>
  <c r="G58" i="69"/>
  <c r="K58" i="69"/>
  <c r="G59" i="69"/>
  <c r="K59" i="69"/>
  <c r="G61" i="69"/>
  <c r="K61" i="69"/>
  <c r="K66" i="69"/>
  <c r="O66" i="69"/>
  <c r="E54" i="69"/>
  <c r="D30" i="69"/>
  <c r="D66" i="69" s="1"/>
  <c r="O37" i="69" l="1"/>
  <c r="N18" i="60" s="1"/>
  <c r="G48" i="69"/>
  <c r="L67" i="69"/>
  <c r="K18" i="60"/>
  <c r="M37" i="69"/>
  <c r="L18" i="60" s="1"/>
  <c r="N37" i="69"/>
  <c r="M18" i="60" s="1"/>
  <c r="K48" i="69"/>
  <c r="J48" i="69"/>
  <c r="N67" i="69"/>
  <c r="I33" i="69"/>
  <c r="D48" i="69"/>
  <c r="I18" i="56"/>
  <c r="I48" i="69"/>
  <c r="E33" i="69"/>
  <c r="E67" i="69" s="1"/>
  <c r="F48" i="69"/>
  <c r="N17" i="66"/>
  <c r="L17" i="66"/>
  <c r="M17" i="66"/>
  <c r="K17" i="66"/>
  <c r="O67" i="69"/>
  <c r="M67" i="69"/>
  <c r="E48" i="69"/>
  <c r="E64" i="69"/>
  <c r="H19" i="56"/>
  <c r="C20" i="60"/>
  <c r="D20" i="60" s="1"/>
  <c r="E20" i="60" s="1"/>
  <c r="F20" i="60" s="1"/>
  <c r="G20" i="60" s="1"/>
  <c r="H20" i="60" s="1"/>
  <c r="I20" i="60" s="1"/>
  <c r="J20" i="60" s="1"/>
  <c r="K20" i="60" s="1"/>
  <c r="L20" i="60" s="1"/>
  <c r="M20" i="60" s="1"/>
  <c r="N20" i="60" s="1"/>
  <c r="O19" i="60"/>
  <c r="G18" i="56"/>
  <c r="E19" i="56"/>
  <c r="I64" i="69"/>
  <c r="C19" i="56"/>
  <c r="K32" i="69"/>
  <c r="J19" i="56"/>
  <c r="G32" i="69"/>
  <c r="F19" i="56"/>
  <c r="J32" i="69"/>
  <c r="I19" i="56"/>
  <c r="D32" i="69"/>
  <c r="J64" i="69"/>
  <c r="K64" i="69"/>
  <c r="F19" i="62"/>
  <c r="F55" i="69"/>
  <c r="E19" i="38" s="1"/>
  <c r="E17" i="38" s="1"/>
  <c r="F53" i="69"/>
  <c r="D64" i="69"/>
  <c r="D33" i="69"/>
  <c r="H64" i="69"/>
  <c r="H33" i="69"/>
  <c r="H67" i="69" s="1"/>
  <c r="F64" i="69"/>
  <c r="G33" i="69"/>
  <c r="G64" i="69"/>
  <c r="I32" i="69"/>
  <c r="K33" i="69"/>
  <c r="F54" i="69"/>
  <c r="G42" i="69"/>
  <c r="G45" i="69" s="1"/>
  <c r="H4" i="69"/>
  <c r="K37" i="69" l="1"/>
  <c r="J18" i="60" s="1"/>
  <c r="I37" i="69"/>
  <c r="H18" i="60" s="1"/>
  <c r="E37" i="69"/>
  <c r="D18" i="60" s="1"/>
  <c r="J67" i="69"/>
  <c r="J37" i="69"/>
  <c r="I18" i="60" s="1"/>
  <c r="F67" i="69"/>
  <c r="F37" i="69"/>
  <c r="E18" i="60" s="1"/>
  <c r="D37" i="69"/>
  <c r="C18" i="60" s="1"/>
  <c r="G37" i="69"/>
  <c r="F18" i="60" s="1"/>
  <c r="H37" i="69"/>
  <c r="G18" i="60" s="1"/>
  <c r="I67" i="69"/>
  <c r="G67" i="69"/>
  <c r="K67" i="69"/>
  <c r="D67" i="69"/>
  <c r="I4" i="69"/>
  <c r="H42" i="69"/>
  <c r="H45" i="69" s="1"/>
  <c r="G19" i="62"/>
  <c r="G55" i="69"/>
  <c r="F19" i="38" s="1"/>
  <c r="F17" i="38" s="1"/>
  <c r="G54" i="69"/>
  <c r="G53" i="69"/>
  <c r="J4" i="69" l="1"/>
  <c r="I42" i="69"/>
  <c r="I45" i="69" s="1"/>
  <c r="H55" i="69"/>
  <c r="G19" i="38" s="1"/>
  <c r="G17" i="38" s="1"/>
  <c r="H54" i="69"/>
  <c r="H53" i="69"/>
  <c r="O19" i="38" l="1"/>
  <c r="J42" i="69"/>
  <c r="J45" i="69" s="1"/>
  <c r="K4" i="69"/>
  <c r="K42" i="69" l="1"/>
  <c r="K45" i="69" s="1"/>
  <c r="L4" i="69"/>
  <c r="M4" i="69" l="1"/>
  <c r="L42" i="69"/>
  <c r="L45" i="69" s="1"/>
  <c r="N4" i="69" l="1"/>
  <c r="M42" i="69"/>
  <c r="M45" i="69" s="1"/>
  <c r="N42" i="69" l="1"/>
  <c r="N45" i="69" s="1"/>
  <c r="O4" i="69"/>
  <c r="O42" i="69" l="1"/>
  <c r="O45" i="69" s="1"/>
  <c r="O18" i="64" l="1"/>
  <c r="O17" i="64" s="1"/>
  <c r="O18" i="59"/>
  <c r="O17" i="59" s="1"/>
  <c r="N17" i="65"/>
  <c r="M17" i="65"/>
  <c r="L17" i="65"/>
  <c r="K17" i="65"/>
  <c r="J17" i="65"/>
  <c r="I17" i="65"/>
  <c r="H17" i="65"/>
  <c r="G17" i="65"/>
  <c r="F17" i="65"/>
  <c r="E17" i="65"/>
  <c r="D17" i="65"/>
  <c r="C17" i="65"/>
  <c r="N17" i="64"/>
  <c r="M17" i="64"/>
  <c r="L17" i="64"/>
  <c r="K17" i="64"/>
  <c r="J17" i="64"/>
  <c r="I17" i="64"/>
  <c r="H17" i="64"/>
  <c r="G17" i="64"/>
  <c r="F17" i="64"/>
  <c r="E17" i="64"/>
  <c r="D17" i="64"/>
  <c r="C17" i="64"/>
  <c r="F5" i="66" l="1"/>
  <c r="F5" i="65"/>
  <c r="F5" i="64"/>
  <c r="F5" i="63"/>
  <c r="O18" i="60" l="1"/>
  <c r="N17" i="60"/>
  <c r="M17" i="60"/>
  <c r="L17" i="60"/>
  <c r="K17" i="60"/>
  <c r="C19" i="61"/>
  <c r="D19" i="61" s="1"/>
  <c r="E19" i="61" s="1"/>
  <c r="F19" i="61" s="1"/>
  <c r="G19" i="61" s="1"/>
  <c r="H19" i="61" s="1"/>
  <c r="I19" i="61" s="1"/>
  <c r="J19" i="61" s="1"/>
  <c r="K19" i="61" s="1"/>
  <c r="L19" i="61" s="1"/>
  <c r="M19" i="61" s="1"/>
  <c r="N19" i="61" s="1"/>
  <c r="O18" i="61"/>
  <c r="O19" i="61" l="1"/>
  <c r="D20" i="61"/>
  <c r="E20" i="61" s="1"/>
  <c r="F20" i="61" s="1"/>
  <c r="G20" i="61" s="1"/>
  <c r="H20" i="61" s="1"/>
  <c r="I20" i="61" s="1"/>
  <c r="J20" i="61" s="1"/>
  <c r="J17" i="61" l="1"/>
  <c r="K20" i="61"/>
  <c r="I17" i="61"/>
  <c r="E17" i="61"/>
  <c r="H17" i="61"/>
  <c r="D17" i="61"/>
  <c r="G17" i="61"/>
  <c r="F17" i="61"/>
  <c r="L22" i="66"/>
  <c r="H22" i="66"/>
  <c r="D22" i="66"/>
  <c r="L22" i="68"/>
  <c r="H22" i="68"/>
  <c r="D22" i="68"/>
  <c r="L22" i="65"/>
  <c r="H22" i="65"/>
  <c r="D22" i="65"/>
  <c r="L22" i="64"/>
  <c r="H22" i="64"/>
  <c r="D22" i="64"/>
  <c r="L22" i="63"/>
  <c r="H22" i="63"/>
  <c r="D22" i="63"/>
  <c r="L20" i="61" l="1"/>
  <c r="K17" i="61"/>
  <c r="J19" i="58"/>
  <c r="J19" i="36"/>
  <c r="D19" i="68"/>
  <c r="D17" i="68" s="1"/>
  <c r="N18" i="1" s="1"/>
  <c r="E19" i="68"/>
  <c r="E17" i="68" s="1"/>
  <c r="O18" i="1" s="1"/>
  <c r="F19" i="68"/>
  <c r="F17" i="68" s="1"/>
  <c r="P18" i="1" s="1"/>
  <c r="G19" i="68"/>
  <c r="G17" i="68" s="1"/>
  <c r="Q18" i="1" s="1"/>
  <c r="H19" i="68"/>
  <c r="H17" i="68" s="1"/>
  <c r="R18" i="1" s="1"/>
  <c r="I19" i="68"/>
  <c r="I17" i="68" s="1"/>
  <c r="S18" i="1" s="1"/>
  <c r="C19" i="68"/>
  <c r="F19" i="58"/>
  <c r="C19" i="58"/>
  <c r="D19" i="36"/>
  <c r="E19" i="36"/>
  <c r="F19" i="36"/>
  <c r="G19" i="36"/>
  <c r="H19" i="36"/>
  <c r="I19" i="36"/>
  <c r="C19" i="36"/>
  <c r="I9" i="68"/>
  <c r="F9" i="68"/>
  <c r="A9" i="68"/>
  <c r="G6" i="68"/>
  <c r="F5" i="68"/>
  <c r="F4" i="68"/>
  <c r="O18" i="68"/>
  <c r="N17" i="68"/>
  <c r="X18" i="1" s="1"/>
  <c r="M17" i="68"/>
  <c r="W18" i="1" s="1"/>
  <c r="L17" i="68"/>
  <c r="V18" i="1" s="1"/>
  <c r="K17" i="68"/>
  <c r="U18" i="1" s="1"/>
  <c r="N16" i="68"/>
  <c r="M16" i="68"/>
  <c r="L16" i="68"/>
  <c r="K16" i="68"/>
  <c r="J16" i="68"/>
  <c r="I16" i="68"/>
  <c r="H16" i="68"/>
  <c r="G16" i="68"/>
  <c r="F16" i="68"/>
  <c r="E16" i="68"/>
  <c r="D16" i="68"/>
  <c r="N15" i="68"/>
  <c r="M15" i="68"/>
  <c r="L15" i="68"/>
  <c r="K15" i="68"/>
  <c r="J15" i="68"/>
  <c r="I15" i="68"/>
  <c r="H15" i="68"/>
  <c r="G15" i="68"/>
  <c r="F15" i="68"/>
  <c r="E15" i="68"/>
  <c r="D15" i="68"/>
  <c r="H9" i="68"/>
  <c r="F3" i="68"/>
  <c r="M20" i="61" l="1"/>
  <c r="L17" i="61"/>
  <c r="O18" i="55"/>
  <c r="C17" i="60"/>
  <c r="D19" i="58"/>
  <c r="H19" i="58"/>
  <c r="I19" i="58"/>
  <c r="G19" i="58"/>
  <c r="E19" i="58"/>
  <c r="J19" i="68"/>
  <c r="J17" i="68" s="1"/>
  <c r="T18" i="1" s="1"/>
  <c r="C17" i="68"/>
  <c r="M18" i="1" s="1"/>
  <c r="I9" i="66"/>
  <c r="H9" i="66"/>
  <c r="F9" i="66"/>
  <c r="A9" i="66"/>
  <c r="N17" i="1"/>
  <c r="O17" i="1"/>
  <c r="R17" i="1"/>
  <c r="S17" i="1"/>
  <c r="T17" i="1"/>
  <c r="V17" i="1"/>
  <c r="W17" i="1"/>
  <c r="M17" i="1"/>
  <c r="N16" i="1"/>
  <c r="O16" i="1"/>
  <c r="P16" i="1"/>
  <c r="R16" i="1"/>
  <c r="T16" i="1"/>
  <c r="U16" i="1"/>
  <c r="V16" i="1"/>
  <c r="W16" i="1"/>
  <c r="X16" i="1"/>
  <c r="M16" i="1"/>
  <c r="D17" i="63"/>
  <c r="N15" i="1" s="1"/>
  <c r="E17" i="63"/>
  <c r="O15" i="1" s="1"/>
  <c r="F17" i="63"/>
  <c r="P15" i="1" s="1"/>
  <c r="G17" i="63"/>
  <c r="Q15" i="1" s="1"/>
  <c r="H17" i="63"/>
  <c r="R15" i="1" s="1"/>
  <c r="I17" i="63"/>
  <c r="S15" i="1" s="1"/>
  <c r="J17" i="63"/>
  <c r="T15" i="1" s="1"/>
  <c r="K17" i="63"/>
  <c r="U15" i="1" s="1"/>
  <c r="L17" i="63"/>
  <c r="V15" i="1" s="1"/>
  <c r="M17" i="63"/>
  <c r="W15" i="1" s="1"/>
  <c r="N17" i="63"/>
  <c r="X15" i="1" s="1"/>
  <c r="C17" i="63"/>
  <c r="M15" i="1" s="1"/>
  <c r="O18" i="38"/>
  <c r="O17" i="38" s="1"/>
  <c r="C17" i="61"/>
  <c r="O19" i="56"/>
  <c r="O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S16" i="1"/>
  <c r="I9" i="65"/>
  <c r="F9" i="65"/>
  <c r="A9" i="65"/>
  <c r="I9" i="64"/>
  <c r="F9" i="64"/>
  <c r="A9" i="64"/>
  <c r="I9" i="63"/>
  <c r="F9" i="63"/>
  <c r="A9" i="63"/>
  <c r="F4" i="66"/>
  <c r="F4" i="65"/>
  <c r="F4" i="64"/>
  <c r="F4" i="63"/>
  <c r="G6" i="66"/>
  <c r="G6" i="65"/>
  <c r="G6" i="64"/>
  <c r="G6" i="63"/>
  <c r="X19" i="1"/>
  <c r="W19" i="1"/>
  <c r="V19" i="1"/>
  <c r="U19" i="1"/>
  <c r="N16" i="66"/>
  <c r="M16" i="66"/>
  <c r="L16" i="66"/>
  <c r="K16" i="66"/>
  <c r="J16" i="66"/>
  <c r="I16" i="66"/>
  <c r="H16" i="66"/>
  <c r="G16" i="66"/>
  <c r="F16" i="66"/>
  <c r="E16" i="66"/>
  <c r="D16" i="66"/>
  <c r="N15" i="66"/>
  <c r="M15" i="66"/>
  <c r="L15" i="66"/>
  <c r="K15" i="66"/>
  <c r="J15" i="66"/>
  <c r="I15" i="66"/>
  <c r="H15" i="66"/>
  <c r="G15" i="66"/>
  <c r="F15" i="66"/>
  <c r="E15" i="66"/>
  <c r="D15" i="66"/>
  <c r="F3" i="66"/>
  <c r="O18" i="65"/>
  <c r="O17" i="65" s="1"/>
  <c r="X17" i="1"/>
  <c r="U17" i="1"/>
  <c r="Q17" i="1"/>
  <c r="P17" i="1"/>
  <c r="N16" i="65"/>
  <c r="M16" i="65"/>
  <c r="L16" i="65"/>
  <c r="K16" i="65"/>
  <c r="J16" i="65"/>
  <c r="I16" i="65"/>
  <c r="H16" i="65"/>
  <c r="G16" i="65"/>
  <c r="F16" i="65"/>
  <c r="E16" i="65"/>
  <c r="D16" i="65"/>
  <c r="N15" i="65"/>
  <c r="M15" i="65"/>
  <c r="L15" i="65"/>
  <c r="K15" i="65"/>
  <c r="J15" i="65"/>
  <c r="I15" i="65"/>
  <c r="H15" i="65"/>
  <c r="G15" i="65"/>
  <c r="F15" i="65"/>
  <c r="E15" i="65"/>
  <c r="D15" i="65"/>
  <c r="H9" i="65"/>
  <c r="F3" i="65"/>
  <c r="Q16" i="1"/>
  <c r="N16" i="64"/>
  <c r="M16" i="64"/>
  <c r="L16" i="64"/>
  <c r="K16" i="64"/>
  <c r="J16" i="64"/>
  <c r="I16" i="64"/>
  <c r="H16" i="64"/>
  <c r="G16" i="64"/>
  <c r="F16" i="64"/>
  <c r="E16" i="64"/>
  <c r="D16" i="64"/>
  <c r="N15" i="64"/>
  <c r="M15" i="64"/>
  <c r="L15" i="64"/>
  <c r="K15" i="64"/>
  <c r="J15" i="64"/>
  <c r="I15" i="64"/>
  <c r="H15" i="64"/>
  <c r="G15" i="64"/>
  <c r="F15" i="64"/>
  <c r="E15" i="64"/>
  <c r="D15" i="64"/>
  <c r="H9" i="64"/>
  <c r="F3" i="64"/>
  <c r="O19" i="63"/>
  <c r="O18" i="63"/>
  <c r="N16" i="63"/>
  <c r="M16" i="63"/>
  <c r="L16" i="63"/>
  <c r="K16" i="63"/>
  <c r="J16" i="63"/>
  <c r="I16" i="63"/>
  <c r="H16" i="63"/>
  <c r="G16" i="63"/>
  <c r="F16" i="63"/>
  <c r="E16" i="63"/>
  <c r="D16" i="63"/>
  <c r="N15" i="63"/>
  <c r="M15" i="63"/>
  <c r="L15" i="63"/>
  <c r="K15" i="63"/>
  <c r="J15" i="63"/>
  <c r="I15" i="63"/>
  <c r="H15" i="63"/>
  <c r="G15" i="63"/>
  <c r="F15" i="63"/>
  <c r="E15" i="63"/>
  <c r="D15" i="63"/>
  <c r="H9" i="63"/>
  <c r="F3" i="63"/>
  <c r="F5" i="59"/>
  <c r="F5" i="58"/>
  <c r="F5" i="38"/>
  <c r="F5" i="36"/>
  <c r="F5" i="62"/>
  <c r="F5" i="61"/>
  <c r="F5" i="60"/>
  <c r="F5" i="56"/>
  <c r="F5" i="55"/>
  <c r="N20" i="61" l="1"/>
  <c r="M17" i="61"/>
  <c r="D17" i="60"/>
  <c r="N8" i="1" s="1"/>
  <c r="O19" i="68"/>
  <c r="O17" i="68" s="1"/>
  <c r="L18" i="1" s="1"/>
  <c r="O17" i="63"/>
  <c r="L15" i="1" s="1"/>
  <c r="O17" i="56"/>
  <c r="L17" i="1"/>
  <c r="L16" i="1"/>
  <c r="O19" i="62"/>
  <c r="O18" i="62"/>
  <c r="O19" i="55"/>
  <c r="W9" i="1"/>
  <c r="U9" i="1"/>
  <c r="T9" i="1"/>
  <c r="S9" i="1"/>
  <c r="R9" i="1"/>
  <c r="Q9" i="1"/>
  <c r="P9" i="1"/>
  <c r="O9" i="1"/>
  <c r="M9" i="1"/>
  <c r="F3" i="59"/>
  <c r="F3" i="58"/>
  <c r="F3" i="38"/>
  <c r="F3" i="36"/>
  <c r="F3" i="62"/>
  <c r="F3" i="61"/>
  <c r="F3" i="60"/>
  <c r="F3" i="56"/>
  <c r="F3" i="55"/>
  <c r="O19" i="36"/>
  <c r="O18" i="36"/>
  <c r="L22" i="62"/>
  <c r="H22" i="62"/>
  <c r="D22" i="62"/>
  <c r="I9" i="62"/>
  <c r="F9" i="62"/>
  <c r="A9" i="62"/>
  <c r="G6" i="62"/>
  <c r="F4" i="62"/>
  <c r="N17" i="62"/>
  <c r="X10" i="1" s="1"/>
  <c r="M17" i="62"/>
  <c r="W10" i="1" s="1"/>
  <c r="L17" i="62"/>
  <c r="V10" i="1" s="1"/>
  <c r="K17" i="62"/>
  <c r="U10" i="1" s="1"/>
  <c r="J17" i="62"/>
  <c r="T10" i="1" s="1"/>
  <c r="I17" i="62"/>
  <c r="S10" i="1" s="1"/>
  <c r="H17" i="62"/>
  <c r="R10" i="1" s="1"/>
  <c r="G17" i="62"/>
  <c r="Q10" i="1" s="1"/>
  <c r="F17" i="62"/>
  <c r="P10" i="1" s="1"/>
  <c r="E17" i="62"/>
  <c r="O10" i="1" s="1"/>
  <c r="D17" i="62"/>
  <c r="N10" i="1" s="1"/>
  <c r="C17" i="62"/>
  <c r="M10" i="1" s="1"/>
  <c r="N16" i="62"/>
  <c r="M16" i="62"/>
  <c r="L16" i="62"/>
  <c r="K16" i="62"/>
  <c r="J16" i="62"/>
  <c r="I16" i="62"/>
  <c r="H16" i="62"/>
  <c r="G16" i="62"/>
  <c r="F16" i="62"/>
  <c r="E16" i="62"/>
  <c r="D16" i="62"/>
  <c r="N15" i="62"/>
  <c r="M15" i="62"/>
  <c r="L15" i="62"/>
  <c r="K15" i="62"/>
  <c r="J15" i="62"/>
  <c r="I15" i="62"/>
  <c r="H15" i="62"/>
  <c r="G15" i="62"/>
  <c r="F15" i="62"/>
  <c r="E15" i="62"/>
  <c r="D15" i="62"/>
  <c r="H9" i="62"/>
  <c r="L23" i="61"/>
  <c r="H23" i="61"/>
  <c r="D23" i="61"/>
  <c r="I9" i="61"/>
  <c r="F9" i="61"/>
  <c r="A9" i="61"/>
  <c r="G6" i="61"/>
  <c r="F4" i="61"/>
  <c r="L23" i="60"/>
  <c r="H23" i="60"/>
  <c r="D23" i="60"/>
  <c r="I9" i="60"/>
  <c r="F9" i="60"/>
  <c r="A9" i="60"/>
  <c r="G6" i="60"/>
  <c r="F4" i="60"/>
  <c r="V9" i="1"/>
  <c r="N9" i="1"/>
  <c r="N16" i="61"/>
  <c r="M16" i="61"/>
  <c r="L16" i="61"/>
  <c r="K16" i="61"/>
  <c r="J16" i="61"/>
  <c r="I16" i="61"/>
  <c r="H16" i="61"/>
  <c r="G16" i="61"/>
  <c r="F16" i="61"/>
  <c r="E16" i="61"/>
  <c r="D16" i="61"/>
  <c r="N15" i="61"/>
  <c r="M15" i="61"/>
  <c r="L15" i="61"/>
  <c r="K15" i="61"/>
  <c r="J15" i="61"/>
  <c r="I15" i="61"/>
  <c r="H15" i="61"/>
  <c r="G15" i="61"/>
  <c r="F15" i="61"/>
  <c r="E15" i="61"/>
  <c r="D15" i="61"/>
  <c r="H9" i="61"/>
  <c r="X8" i="1"/>
  <c r="W8" i="1"/>
  <c r="V8" i="1"/>
  <c r="U8" i="1"/>
  <c r="M8" i="1"/>
  <c r="N16" i="60"/>
  <c r="M16" i="60"/>
  <c r="L16" i="60"/>
  <c r="K16" i="60"/>
  <c r="J16" i="60"/>
  <c r="I16" i="60"/>
  <c r="H16" i="60"/>
  <c r="G16" i="60"/>
  <c r="F16" i="60"/>
  <c r="E16" i="60"/>
  <c r="D16" i="60"/>
  <c r="N15" i="60"/>
  <c r="M15" i="60"/>
  <c r="L15" i="60"/>
  <c r="K15" i="60"/>
  <c r="J15" i="60"/>
  <c r="I15" i="60"/>
  <c r="H15" i="60"/>
  <c r="G15" i="60"/>
  <c r="F15" i="60"/>
  <c r="E15" i="60"/>
  <c r="D15" i="60"/>
  <c r="H9" i="60"/>
  <c r="N17" i="61" l="1"/>
  <c r="X9" i="1" s="1"/>
  <c r="O20" i="61"/>
  <c r="O17" i="61" s="1"/>
  <c r="L9" i="1" s="1"/>
  <c r="E17" i="60"/>
  <c r="O8" i="1" s="1"/>
  <c r="O17" i="62"/>
  <c r="L10" i="1" s="1"/>
  <c r="L22" i="59"/>
  <c r="H22" i="59"/>
  <c r="D22" i="59"/>
  <c r="I9" i="59"/>
  <c r="F9" i="59"/>
  <c r="A9" i="59"/>
  <c r="G6" i="59"/>
  <c r="F4" i="59"/>
  <c r="L14" i="1"/>
  <c r="X14" i="1"/>
  <c r="W14" i="1"/>
  <c r="V14" i="1"/>
  <c r="U14" i="1"/>
  <c r="T14" i="1"/>
  <c r="S14" i="1"/>
  <c r="R14" i="1"/>
  <c r="Q14" i="1"/>
  <c r="P14" i="1"/>
  <c r="O14" i="1"/>
  <c r="N14" i="1"/>
  <c r="M14" i="1"/>
  <c r="N16" i="59"/>
  <c r="M16" i="59"/>
  <c r="L16" i="59"/>
  <c r="K16" i="59"/>
  <c r="J16" i="59"/>
  <c r="I16" i="59"/>
  <c r="H16" i="59"/>
  <c r="G16" i="59"/>
  <c r="F16" i="59"/>
  <c r="E16" i="59"/>
  <c r="D16" i="59"/>
  <c r="N15" i="59"/>
  <c r="M15" i="59"/>
  <c r="L15" i="59"/>
  <c r="K15" i="59"/>
  <c r="J15" i="59"/>
  <c r="I15" i="59"/>
  <c r="H15" i="59"/>
  <c r="G15" i="59"/>
  <c r="F15" i="59"/>
  <c r="E15" i="59"/>
  <c r="D15" i="59"/>
  <c r="H9" i="59"/>
  <c r="O19" i="58"/>
  <c r="O18" i="58"/>
  <c r="N17" i="58"/>
  <c r="X13" i="1" s="1"/>
  <c r="M17" i="58"/>
  <c r="W13" i="1" s="1"/>
  <c r="L17" i="58"/>
  <c r="V13" i="1" s="1"/>
  <c r="K17" i="58"/>
  <c r="U13" i="1" s="1"/>
  <c r="J17" i="58"/>
  <c r="T13" i="1" s="1"/>
  <c r="I17" i="58"/>
  <c r="S13" i="1" s="1"/>
  <c r="H17" i="58"/>
  <c r="R13" i="1" s="1"/>
  <c r="G17" i="58"/>
  <c r="Q13" i="1" s="1"/>
  <c r="F17" i="58"/>
  <c r="P13" i="1" s="1"/>
  <c r="E17" i="58"/>
  <c r="O13" i="1" s="1"/>
  <c r="D17" i="58"/>
  <c r="N13" i="1" s="1"/>
  <c r="C17" i="58"/>
  <c r="M13" i="1" s="1"/>
  <c r="L22" i="58"/>
  <c r="H22" i="58"/>
  <c r="D22" i="58"/>
  <c r="I9" i="58"/>
  <c r="F9" i="58"/>
  <c r="A9" i="58"/>
  <c r="G6" i="58"/>
  <c r="F4" i="58"/>
  <c r="N16" i="58"/>
  <c r="M16" i="58"/>
  <c r="L16" i="58"/>
  <c r="K16" i="58"/>
  <c r="J16" i="58"/>
  <c r="I16" i="58"/>
  <c r="H16" i="58"/>
  <c r="G16" i="58"/>
  <c r="F16" i="58"/>
  <c r="E16" i="58"/>
  <c r="D16" i="58"/>
  <c r="N15" i="58"/>
  <c r="M15" i="58"/>
  <c r="L15" i="58"/>
  <c r="K15" i="58"/>
  <c r="J15" i="58"/>
  <c r="I15" i="58"/>
  <c r="H15" i="58"/>
  <c r="G15" i="58"/>
  <c r="F15" i="58"/>
  <c r="E15" i="58"/>
  <c r="D15" i="58"/>
  <c r="H9" i="58"/>
  <c r="L22" i="56"/>
  <c r="H22" i="56"/>
  <c r="D22" i="56"/>
  <c r="I9" i="56"/>
  <c r="F9" i="56"/>
  <c r="A9" i="56"/>
  <c r="G6" i="56"/>
  <c r="F4" i="56"/>
  <c r="V7" i="1"/>
  <c r="L7" i="1"/>
  <c r="X7" i="1"/>
  <c r="W7" i="1"/>
  <c r="U7" i="1"/>
  <c r="T7" i="1"/>
  <c r="S7" i="1"/>
  <c r="R7" i="1"/>
  <c r="Q7" i="1"/>
  <c r="P7" i="1"/>
  <c r="O7" i="1"/>
  <c r="N7" i="1"/>
  <c r="M7" i="1"/>
  <c r="N16" i="56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H9" i="56"/>
  <c r="L22" i="55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  <c r="O17" i="36"/>
  <c r="C17" i="36"/>
  <c r="D17" i="36"/>
  <c r="E17" i="36"/>
  <c r="G6" i="38"/>
  <c r="G6" i="36"/>
  <c r="F17" i="60" l="1"/>
  <c r="P8" i="1" s="1"/>
  <c r="E19" i="66"/>
  <c r="C19" i="66"/>
  <c r="D19" i="66"/>
  <c r="O17" i="58"/>
  <c r="L13" i="1" s="1"/>
  <c r="N17" i="36"/>
  <c r="M17" i="36"/>
  <c r="L17" i="36"/>
  <c r="K17" i="36"/>
  <c r="J17" i="36"/>
  <c r="J19" i="66" s="1"/>
  <c r="J17" i="66" s="1"/>
  <c r="I17" i="36"/>
  <c r="H17" i="36"/>
  <c r="G17" i="36"/>
  <c r="F17" i="36"/>
  <c r="N16" i="36"/>
  <c r="M16" i="36"/>
  <c r="L16" i="36"/>
  <c r="K16" i="36"/>
  <c r="J16" i="36"/>
  <c r="I16" i="36"/>
  <c r="H16" i="36"/>
  <c r="G16" i="36"/>
  <c r="F16" i="36"/>
  <c r="E16" i="36"/>
  <c r="D16" i="36"/>
  <c r="N15" i="36"/>
  <c r="M15" i="36"/>
  <c r="L15" i="36"/>
  <c r="K15" i="36"/>
  <c r="J15" i="36"/>
  <c r="I15" i="36"/>
  <c r="H15" i="36"/>
  <c r="G15" i="36"/>
  <c r="F15" i="36"/>
  <c r="E15" i="36"/>
  <c r="D15" i="36"/>
  <c r="G17" i="60" l="1"/>
  <c r="Q8" i="1" s="1"/>
  <c r="G19" i="66"/>
  <c r="I19" i="66"/>
  <c r="F19" i="66"/>
  <c r="H19" i="66"/>
  <c r="C17" i="66"/>
  <c r="E17" i="66"/>
  <c r="D17" i="66"/>
  <c r="O11" i="1"/>
  <c r="O19" i="1" l="1"/>
  <c r="T19" i="1"/>
  <c r="N19" i="1"/>
  <c r="M19" i="1"/>
  <c r="H17" i="60"/>
  <c r="R8" i="1" s="1"/>
  <c r="O19" i="66"/>
  <c r="I17" i="66"/>
  <c r="H17" i="66"/>
  <c r="F17" i="66"/>
  <c r="G17" i="66"/>
  <c r="N12" i="1"/>
  <c r="O12" i="1"/>
  <c r="P12" i="1"/>
  <c r="Q12" i="1"/>
  <c r="R12" i="1"/>
  <c r="S12" i="1"/>
  <c r="T12" i="1"/>
  <c r="U12" i="1"/>
  <c r="V12" i="1"/>
  <c r="W12" i="1"/>
  <c r="X12" i="1"/>
  <c r="M12" i="1"/>
  <c r="L22" i="38"/>
  <c r="H22" i="38"/>
  <c r="D22" i="38"/>
  <c r="L12" i="1"/>
  <c r="I9" i="38"/>
  <c r="H9" i="38"/>
  <c r="F9" i="38"/>
  <c r="A9" i="38"/>
  <c r="F4" i="38"/>
  <c r="N16" i="38"/>
  <c r="M16" i="38"/>
  <c r="L16" i="38"/>
  <c r="K16" i="38"/>
  <c r="J16" i="38"/>
  <c r="I16" i="38"/>
  <c r="H16" i="38"/>
  <c r="G16" i="38"/>
  <c r="F16" i="38"/>
  <c r="E16" i="38"/>
  <c r="D16" i="38"/>
  <c r="N15" i="38"/>
  <c r="M15" i="38"/>
  <c r="L15" i="38"/>
  <c r="K15" i="38"/>
  <c r="J15" i="38"/>
  <c r="I15" i="38"/>
  <c r="H15" i="38"/>
  <c r="G15" i="38"/>
  <c r="F15" i="38"/>
  <c r="E15" i="38"/>
  <c r="D15" i="38"/>
  <c r="L22" i="36"/>
  <c r="H22" i="36"/>
  <c r="D22" i="36"/>
  <c r="I9" i="36"/>
  <c r="H9" i="36"/>
  <c r="F9" i="36"/>
  <c r="A9" i="36"/>
  <c r="F4" i="36"/>
  <c r="X11" i="1"/>
  <c r="W11" i="1"/>
  <c r="V11" i="1"/>
  <c r="U11" i="1"/>
  <c r="T11" i="1"/>
  <c r="S11" i="1"/>
  <c r="R11" i="1"/>
  <c r="Q11" i="1"/>
  <c r="P11" i="1"/>
  <c r="N11" i="1"/>
  <c r="M11" i="1"/>
  <c r="L11" i="1"/>
  <c r="P19" i="1" l="1"/>
  <c r="S19" i="1"/>
  <c r="R19" i="1"/>
  <c r="I17" i="60"/>
  <c r="S8" i="1" s="1"/>
  <c r="O18" i="66"/>
  <c r="O17" i="66" s="1"/>
  <c r="Q19" i="1"/>
  <c r="L19" i="1" l="1"/>
  <c r="J17" i="60"/>
  <c r="T8" i="1" s="1"/>
  <c r="O20" i="60"/>
  <c r="O17" i="60" s="1"/>
  <c r="L8" i="1" s="1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<sst xmlns="http://schemas.openxmlformats.org/spreadsheetml/2006/main" count="1279" uniqueCount="304">
  <si>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</si>
  <si>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</si>
  <si>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</si>
  <si>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</si>
  <si>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</si>
  <si>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</si>
  <si>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</si>
  <si>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</si>
  <si>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</si>
  <si>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</si>
  <si>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</si>
  <si>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</si>
  <si>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</si>
  <si>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</si>
  <si>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</si>
  <si>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</si>
  <si>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</si>
  <si>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</si>
  <si>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</si>
  <si>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</si>
  <si>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</si>
  <si>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</si>
  <si>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</si>
  <si>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</si>
  <si>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</si>
  <si>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</si>
  <si>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</si>
  <si>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</si>
  <si>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</si>
  <si>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</si>
  <si>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</si>
  <si>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</si>
  <si>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</si>
  <si>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</si>
  <si>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</si>
  <si>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</si>
  <si>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</si>
  <si>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</si>
  <si>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</si>
  <si>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</si>
  <si>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</si>
  <si>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</si>
  <si>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</si>
  <si>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IN03</t>
  </si>
  <si>
    <t>IN04</t>
  </si>
  <si>
    <t>IN05</t>
  </si>
  <si>
    <t>IN06</t>
  </si>
  <si>
    <t>IN07</t>
  </si>
  <si>
    <t>IN08</t>
  </si>
  <si>
    <t>IN09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</si>
  <si>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</si>
  <si>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</si>
  <si>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</si>
  <si>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</si>
  <si>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</si>
  <si>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</si>
  <si>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</si>
  <si>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</si>
  <si>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</si>
  <si>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</si>
  <si>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</si>
  <si>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</si>
  <si>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</si>
  <si>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</si>
  <si>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</si>
  <si>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</si>
  <si>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</si>
  <si>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</si>
  <si>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</si>
  <si>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</si>
  <si>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</si>
  <si>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</si>
  <si>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</si>
  <si>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</si>
  <si>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</si>
  <si>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</si>
  <si>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</si>
  <si>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</si>
  <si>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</si>
  <si>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</si>
  <si>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</si>
  <si>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</si>
  <si>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</si>
  <si>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</si>
  <si>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</si>
  <si>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</si>
  <si>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</si>
  <si>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</si>
  <si>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</si>
  <si>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</si>
  <si>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</si>
  <si>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</si>
  <si>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</si>
  <si>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</si>
  <si>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AH-SP-</t>
  </si>
  <si>
    <t>IN10</t>
  </si>
  <si>
    <t>IN11</t>
  </si>
  <si>
    <t>IN12</t>
  </si>
  <si>
    <t>IN13</t>
  </si>
  <si>
    <t>Eficiencia de Recaudo  Corriente</t>
  </si>
  <si>
    <t>Eficiencia de Recaudo Total</t>
  </si>
  <si>
    <t>Cobertura de medición</t>
  </si>
  <si>
    <t>Calidad del Agua</t>
  </si>
  <si>
    <t>Índice de agua no contabilizada</t>
  </si>
  <si>
    <t>Continuidad del Servicio (Aseo)</t>
  </si>
  <si>
    <t>Disposición en Relleno Sanitario</t>
  </si>
  <si>
    <t>(Valor  Recaudado  Corriente Usuario Final / Valor  Facturado Corriente Usuario Final) x100%</t>
  </si>
  <si>
    <t>Menor al 59%</t>
  </si>
  <si>
    <t>Entre 60% y 79%</t>
  </si>
  <si>
    <t>Entre 80% y 100%</t>
  </si>
  <si>
    <t>Entre 60% y 70%</t>
  </si>
  <si>
    <t>Entre 71% y 100%</t>
  </si>
  <si>
    <t>Días</t>
  </si>
  <si>
    <t>(Cuentas por Cobrar  a particulares y/o oficiales /  Valor Facturado Usuarios particulares y/o oficiales) x 365</t>
  </si>
  <si>
    <t xml:space="preserve">(Inversión realizada / Inversión presupuestada) x 100% </t>
  </si>
  <si>
    <t xml:space="preserve">(Residuos sólidos recolectada/ Residuos sólidos producidos) x 100%           </t>
  </si>
  <si>
    <t xml:space="preserve">Medición de acuerdo al IRCA          </t>
  </si>
  <si>
    <t>Mayor al 8%</t>
  </si>
  <si>
    <t>Entre el 5% y el 8%</t>
  </si>
  <si>
    <t>Menor al 5%</t>
  </si>
  <si>
    <t xml:space="preserve">(Volumen  producido - Volumen facturado /   Volumen  producido)   x 100          </t>
  </si>
  <si>
    <t>Mayor al 50%</t>
  </si>
  <si>
    <t>Entre el 30% y el 50%</t>
  </si>
  <si>
    <t>Menor al 30%</t>
  </si>
  <si>
    <t>Menor al 70%</t>
  </si>
  <si>
    <t>Entre 71% y 90%</t>
  </si>
  <si>
    <t>Entre 91% y 100%</t>
  </si>
  <si>
    <t>Mayor a 45 días</t>
  </si>
  <si>
    <t>Entre 31 y 45 días</t>
  </si>
  <si>
    <t>Menor a 31 días</t>
  </si>
  <si>
    <t>Vr. Facturado corriente usuario final</t>
  </si>
  <si>
    <t>Vr. recaudado corriente usuario final</t>
  </si>
  <si>
    <t>Vr. Total Facturado usuario final</t>
  </si>
  <si>
    <t>Vr. Total Recaudado usuario final</t>
  </si>
  <si>
    <t>Cuentas por cobrar a particulares y/o entidades oficiales</t>
  </si>
  <si>
    <t>Inversión Presupuestada</t>
  </si>
  <si>
    <t>No. de suscriptores</t>
  </si>
  <si>
    <t>No. de domicilios</t>
  </si>
  <si>
    <t>Residuos sólidos recolectados</t>
  </si>
  <si>
    <t>Residuos sólidos producidos</t>
  </si>
  <si>
    <t>No. de medidores en servicio</t>
  </si>
  <si>
    <t>Resultados medición metodológia IRCA</t>
  </si>
  <si>
    <t xml:space="preserve">Volumen producido </t>
  </si>
  <si>
    <t>Volumen facturado</t>
  </si>
  <si>
    <t>No. de días de recolección de residuos sólidos en el semestre</t>
  </si>
  <si>
    <t>Residuos sólidos en relleno sanitario</t>
  </si>
  <si>
    <t>(Residuos sólidos en relleno sanitario / Residuos sólidos producidos)     x 100    %</t>
  </si>
  <si>
    <t>Medir la eficiencia en el recaudo corriente de la prestación de los servicios pubicos domiciliarios de Aguas del Huila.</t>
  </si>
  <si>
    <t>Medir la eficiencia en el recaudo total de la prestación de los servicios pubicos domiciliarios de Aguas del Huila.</t>
  </si>
  <si>
    <t>Controlar la cartera existentes de servicios publicos por edades con el fin de evaluar la rotación de la misma.</t>
  </si>
  <si>
    <t>Realizar el seguimiento a la ejecución de la inversión establecida para la vigencia fiscal respectiva.</t>
  </si>
  <si>
    <t xml:space="preserve">Medir el grado de cobertura en   la prestación del servicio de alcantarillado administrado  por Aguas del Huila. </t>
  </si>
  <si>
    <t xml:space="preserve">Medir el grado de cobertura en   la prestación del servicio de acueducto administrado por Aguas del Huila. </t>
  </si>
  <si>
    <t xml:space="preserve">Medir el grado de cobertura en   la prestación del servicio de aseo administrado  por Aguas del Huila. </t>
  </si>
  <si>
    <t>Lograr que Aguas del Huila facture la totalidad del agua producida.</t>
  </si>
  <si>
    <t>Lograr que los suscriptores del servicio de acueducto de Aguas del Huila, tengan su instrumento medición.</t>
  </si>
  <si>
    <t>Prestar el servico de acueducto en forma continua las 24 horas.</t>
  </si>
  <si>
    <t>Disponer la totalidad de los residuos solidos recolectados en el sitio de disposición final.</t>
  </si>
  <si>
    <t>IN14</t>
  </si>
  <si>
    <t>Monitorear la calidad de agua suministrada a los usuarios por parte de Aguas de Huila.</t>
  </si>
  <si>
    <t>PQR en la prestación del servicio.</t>
  </si>
  <si>
    <t>Medir el grado de satisfación de los suscriptores en la prestación del servicio.</t>
  </si>
  <si>
    <t>Entre 0 y 10%</t>
  </si>
  <si>
    <t>Entre 11% y el 20%</t>
  </si>
  <si>
    <t>Mayor al 21%</t>
  </si>
  <si>
    <t>Número de PQR recibidas</t>
  </si>
  <si>
    <t>Número de suscriptores del servicio</t>
  </si>
  <si>
    <t>(720 - Horas sin servicio mensuales) / 720) * 100</t>
  </si>
  <si>
    <t>Recolectar los residuos solidos en los dias y rutas establecidas en el PGIRS.</t>
  </si>
  <si>
    <t>Horas sin servicio mensual</t>
  </si>
  <si>
    <t>GESTIÓN DE SERVICIOS PÚBLICOS - TARQUÍ</t>
  </si>
  <si>
    <t>Inversión realizada por mes</t>
  </si>
  <si>
    <t>Inversión Acumulada en el periodo</t>
  </si>
  <si>
    <t>&lt; 15%</t>
  </si>
  <si>
    <t>&lt; 5%</t>
  </si>
  <si>
    <t>Cobertura   (Acueducto)</t>
  </si>
  <si>
    <t>Cobertura   (Alcantarillado)</t>
  </si>
  <si>
    <t xml:space="preserve">Cobertura   (Servicio de Aseo) </t>
  </si>
  <si>
    <t>Continuidad del servicio (Acueducto)</t>
  </si>
  <si>
    <t xml:space="preserve">Rotación de Cartera </t>
  </si>
  <si>
    <t>Ejecución de inversiones</t>
  </si>
  <si>
    <t>TABLERO DE INDICADORES BÁSICOS PARA EMPRESAS DE ACUEDUCTO, ALCANTARILLADO Y ASEO</t>
  </si>
  <si>
    <r>
      <t xml:space="preserve">MUNICIPIO : </t>
    </r>
    <r>
      <rPr>
        <sz val="16"/>
        <rFont val="Arial"/>
        <family val="2"/>
      </rPr>
      <t>TARQUI</t>
    </r>
  </si>
  <si>
    <t>EMPRESA:</t>
  </si>
  <si>
    <t>INFORMACIÓN REQUERIDA</t>
  </si>
  <si>
    <t>Unidad</t>
  </si>
  <si>
    <t>Domicilios</t>
  </si>
  <si>
    <t>Suscriptores de Acueducto</t>
  </si>
  <si>
    <t>Suscriptores</t>
  </si>
  <si>
    <t>Suscriptores de Alcantarillado</t>
  </si>
  <si>
    <t>Suscriptores de Aseo</t>
  </si>
  <si>
    <t>Volúmen de agua producida</t>
  </si>
  <si>
    <t>(m3/mes)</t>
  </si>
  <si>
    <t>Volúmen de agua facturada</t>
  </si>
  <si>
    <t>($/mes)</t>
  </si>
  <si>
    <t>Gastos totales</t>
  </si>
  <si>
    <t>Costos de personal</t>
  </si>
  <si>
    <t xml:space="preserve">Valor facturado Corriente servicio de Acueducto </t>
  </si>
  <si>
    <t>Valor recaudado Corriente servicio de Acueducto</t>
  </si>
  <si>
    <t>Valor facturado Corriente servicio de Alcantarillado</t>
  </si>
  <si>
    <t>Valor recaudado Corriente servicio de Alcantarillado</t>
  </si>
  <si>
    <t>Valor facturado Corriente servicio de Aseo</t>
  </si>
  <si>
    <t>Valor recaudado Corriente servicio de Aseo</t>
  </si>
  <si>
    <t>Valor facturado Deuda servicio de Acueducto</t>
  </si>
  <si>
    <t>Valor recaudado Deuda  servicio de Acueducto</t>
  </si>
  <si>
    <t>Valor facturado Deuda  servicio de Alcantarillado</t>
  </si>
  <si>
    <t>Valor recaudadoDeuda   servicio de Alcantarillado</t>
  </si>
  <si>
    <t>Valor facturado Deuda   servicio de Aseo</t>
  </si>
  <si>
    <t>Valor recaudado Deuda  servicio de Aseo</t>
  </si>
  <si>
    <t>Valor facturado Total servicio de Acueducto</t>
  </si>
  <si>
    <t>Valor recaudado Total servicio de Acueducto</t>
  </si>
  <si>
    <t>Valor facturado Total servicio de Alcantarillado</t>
  </si>
  <si>
    <t>Valor recaudado Total  servicio de Alcantarillado</t>
  </si>
  <si>
    <t>Valor facturado Total servicio de Aseo</t>
  </si>
  <si>
    <t>Valor recaudado Total  servicio de Aseo</t>
  </si>
  <si>
    <t>Gran total facturado</t>
  </si>
  <si>
    <t>Gran total recaudado</t>
  </si>
  <si>
    <t>Calidad bacteriológica</t>
  </si>
  <si>
    <t>Cumple</t>
  </si>
  <si>
    <t>Toneladas dispuestas Aseo</t>
  </si>
  <si>
    <t>Total Facturado Corriente</t>
  </si>
  <si>
    <t>Total Recaudado Corriente</t>
  </si>
  <si>
    <t>Total Facturado deuda</t>
  </si>
  <si>
    <t>Total Recaudado deuda</t>
  </si>
  <si>
    <t>Eficiencia Corriente Total</t>
  </si>
  <si>
    <t>Eficiencia Deuda Total</t>
  </si>
  <si>
    <t>INDICADORES</t>
  </si>
  <si>
    <t>Cobertura de Acueducto</t>
  </si>
  <si>
    <t>(%)</t>
  </si>
  <si>
    <t>Cobertura de Alcantarillado</t>
  </si>
  <si>
    <t>Cobertura de Aseo</t>
  </si>
  <si>
    <t>Calidad del agua</t>
  </si>
  <si>
    <t>Apta / No Apta</t>
  </si>
  <si>
    <t>Índice de Agua No Contabilizada</t>
  </si>
  <si>
    <t>Eficiencia  recaudo Corriente Acueducto</t>
  </si>
  <si>
    <t>Eficiencia  recaudo Corriente  Alcantarillado</t>
  </si>
  <si>
    <t>Eficiencia  recaudo Corriente Aseo</t>
  </si>
  <si>
    <t>Eficiencia  recaudo Deuda Acueducto</t>
  </si>
  <si>
    <t>Eficiencia  recaudo Deuda  Alcantarillado</t>
  </si>
  <si>
    <t>Eficiencia  recaudo Deuda Aseo</t>
  </si>
  <si>
    <t>Eficiencia recaudo Total  Acueducto</t>
  </si>
  <si>
    <t>Eficiencia recaudo Total  Alcantarillado</t>
  </si>
  <si>
    <t>Eficiencia recaudo Total Aseo</t>
  </si>
  <si>
    <t>Eficiencia recaudo Total</t>
  </si>
  <si>
    <t>Eficiencia laboral Acueducto y Alcantarillado</t>
  </si>
  <si>
    <t>($/m3)</t>
  </si>
  <si>
    <t>Utilidad neta</t>
  </si>
  <si>
    <t>INDICADORES DE COBERTURA</t>
  </si>
  <si>
    <t>COBERTURAS DE SERVICIO</t>
  </si>
  <si>
    <t>Vr. Facturado usuarios particulares y/o entidades oficiales - Mes</t>
  </si>
  <si>
    <t>Vr. Facturado usuarios particulares y/o entidades oficiales - Acumulado</t>
  </si>
  <si>
    <t>AGUAS DEL HUILA S.A. E.S.P.</t>
  </si>
  <si>
    <t>(Valor  Recaudado  Total Usuario Final / Valor  total Facturado usuario Final) x100%</t>
  </si>
  <si>
    <t>No. de suscriptores acueducto</t>
  </si>
  <si>
    <t>No. de suscriptores alcantarillado</t>
  </si>
  <si>
    <t xml:space="preserve">(Número de Suscriptores servicio de acueducto / Número de Domicilios) x 100% </t>
  </si>
  <si>
    <t xml:space="preserve">(Número de Suscriptores servicio de alcantarillado / Número de Domicilios) x 100%  </t>
  </si>
  <si>
    <t xml:space="preserve">(Número de Medidores en servicio / Número de Suscriptores) x 100%          </t>
  </si>
  <si>
    <t>Número de dias de recolección de residuos sólidos por semestre / 144</t>
  </si>
  <si>
    <t xml:space="preserve">Número de PQR recibidas / número de suscriptores del servicio*100 </t>
  </si>
  <si>
    <t>No de horas sin servicio</t>
  </si>
  <si>
    <t>No. de PQR recibidas</t>
  </si>
  <si>
    <t>Calidad fisicoquímica</t>
  </si>
  <si>
    <t>*</t>
  </si>
  <si>
    <t>RESULTADOS DE LA VIGENCIA</t>
  </si>
  <si>
    <t>Volúmen de vertimiento de alcantarillado facturado</t>
  </si>
  <si>
    <t>&lt; 1%</t>
  </si>
  <si>
    <t>META 2018</t>
  </si>
  <si>
    <t>RESULTADOS VIGENCIA 2018</t>
  </si>
  <si>
    <t>META  AÑO 2018</t>
  </si>
  <si>
    <t>VIGENCIA 2018</t>
  </si>
  <si>
    <t>Para este mes se cumple con la meta.</t>
  </si>
  <si>
    <t>Para este mes no se cumple con la meta y está por debajo de la linea base.  Se debe a que no se recibieron los recaudos del sector oficial, a cargo de la alcaldia municipal.</t>
  </si>
  <si>
    <t>Para este mes se cumple con la meta y es alta debido a que se recibieron los pagos de la alcaldia.</t>
  </si>
  <si>
    <t xml:space="preserve">El indicador esta por debajo de la meta y de la linea base. </t>
  </si>
  <si>
    <t>Es necesario que la administracion municipal pague dentro del periodo sus facturas.</t>
  </si>
  <si>
    <t>Levemente se cumple con el indicador.</t>
  </si>
  <si>
    <t>No se cumple con el indicador debido principalmente a el no recibo de los recaudos por parte de la administracion municipal.</t>
  </si>
  <si>
    <t>Se cumple con el indicador y es alto debido a que se recibió el pago de la administración municipal.</t>
  </si>
  <si>
    <t xml:space="preserve">Se cumple con el indicador. </t>
  </si>
  <si>
    <t>ES necesario que la admiistracion municipal pague dentro del periodo sus facturas.</t>
  </si>
  <si>
    <t xml:space="preserve">Se cumple con el indicador </t>
  </si>
  <si>
    <t>El indicador alcanza el valor de la meta pero aumenta respecto al mes anterior, debido principalmente al no pago del las cuentas del sector oficial.</t>
  </si>
  <si>
    <t>El indicador es bajo y se debe a que se recibieron las cuentas del sector oficial.</t>
  </si>
  <si>
    <t xml:space="preserve">Sube levemente el indicador </t>
  </si>
  <si>
    <t>No se han ejecutado inversiones.  La empresa solo administra y opera los sistemas bajo un contrato de concesion.</t>
  </si>
  <si>
    <t>Se cumple con el indicador, la empresa atiende los nuevos sucriptores.</t>
  </si>
  <si>
    <t>Se cumple con el indicador, las nuevas conexiones domiciliarias de acueducto deben tener el servicio de alcantarillado.</t>
  </si>
  <si>
    <t>Se cumple con el indicador, las nuevas conexiones domiciliarias de acueducto deben tener el servicio de alcantarillado. Existen suscriptores que no tienen alcantarillado pues descargan a quebradas o tienen pozo septico.</t>
  </si>
  <si>
    <t>La empresa recoge la totalidad de los residuos generados.  La cobertura no llega al 100% pues se tienen en cuenta los lotes que no producen residuos.</t>
  </si>
  <si>
    <t>Ajustar el indicador teniendo en cuenta los lotes que no producen residuos.</t>
  </si>
  <si>
    <t>No se alcanza la meta debido  a la existencia de varios medidores en mal estado.</t>
  </si>
  <si>
    <t>No se alcanza la meta debido  a la existencia de varios medidores en mal estado y algunos frenados.</t>
  </si>
  <si>
    <t>SE están adelantando las visitas para informar a los suscriptores la necesidad del cambio de los medidores.</t>
  </si>
  <si>
    <t>SE están adelantando las visitas para informar a los suscriptores la necesidad del cambio de los medidores. Se envían oficios solicitando la reparacion de los medidoes.</t>
  </si>
  <si>
    <t>SE entrega agua apta para el consumo humano.</t>
  </si>
  <si>
    <t>Para este mes se cumple con el indicador.  Y está por debajo de la meta.</t>
  </si>
  <si>
    <t>El indicador aumenta y es debido principalmente a filtraciones en los tanque de almacenamiento y por la inexitencia de macromedidores en buen estado.</t>
  </si>
  <si>
    <t>ES necesario tomar correctamente los volumentes de agua producida y verificar el estado de los macromedidores.</t>
  </si>
  <si>
    <t>Se cumple con el indicador. Las suspensiones del servicios son pocas</t>
  </si>
  <si>
    <t>Se cumple con el indicador, las quejas de los suscriptores son minimas</t>
  </si>
  <si>
    <t>Verificar las causales de las pqr y tomar los correctivos</t>
  </si>
  <si>
    <t>se ha encontrado que el mayor numero de quejas obedece a toma de lecturas.  Se notificó al encargado de la toma de lecturas.</t>
  </si>
  <si>
    <t>La totalidad de los residuos recolectados son dispuestos en el relleno sanitario.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</si>
</sst>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_-* #,##0_-;\-* #,##0_-;_-* &quot;-&quot;??_-;_-@_-"/>
    <numFmt numFmtId="168" formatCode="_ * #,##0.00_ ;_ * \-#,##0.00_ ;_ * &quot;-&quot;??_ ;_ @_ "/>
    <numFmt numFmtId="169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</cellStyleXfs>
  <cellXfs count="285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65" fontId="8" fillId="0" borderId="22" xfId="1" applyNumberFormat="1" applyFont="1" applyBorder="1" applyAlignment="1">
      <alignment vertical="center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165" fontId="8" fillId="7" borderId="29" xfId="1" applyNumberFormat="1" applyFont="1" applyFill="1" applyBorder="1" applyAlignment="1">
      <alignment vertical="center"/>
    </xf>
    <xf numFmtId="164" fontId="9" fillId="7" borderId="1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vertical="center"/>
    </xf>
    <xf numFmtId="3" fontId="8" fillId="7" borderId="15" xfId="1" applyNumberFormat="1" applyFont="1" applyFill="1" applyBorder="1" applyAlignment="1">
      <alignment vertical="center"/>
    </xf>
    <xf numFmtId="164" fontId="14" fillId="0" borderId="1" xfId="1" applyNumberFormat="1" applyFont="1" applyFill="1" applyBorder="1" applyAlignment="1">
      <alignment vertical="center"/>
    </xf>
    <xf numFmtId="0" fontId="14" fillId="7" borderId="30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textRotation="90" wrapText="1"/>
    </xf>
    <xf numFmtId="164" fontId="15" fillId="0" borderId="36" xfId="0" applyNumberFormat="1" applyFont="1" applyBorder="1" applyAlignment="1">
      <alignment horizontal="center" vertical="center" textRotation="90" wrapText="1"/>
    </xf>
    <xf numFmtId="0" fontId="15" fillId="8" borderId="36" xfId="0" applyFont="1" applyFill="1" applyBorder="1" applyAlignment="1">
      <alignment horizontal="center" vertical="center" textRotation="90" wrapText="1"/>
    </xf>
    <xf numFmtId="0" fontId="19" fillId="5" borderId="36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6" fontId="9" fillId="7" borderId="12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6" xfId="1" applyFont="1" applyBorder="1" applyAlignment="1">
      <alignment horizontal="justify" vertical="top" wrapText="1"/>
    </xf>
    <xf numFmtId="0" fontId="17" fillId="0" borderId="36" xfId="0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6" xfId="0" applyNumberFormat="1" applyFont="1" applyFill="1" applyBorder="1" applyAlignment="1">
      <alignment horizontal="center" vertical="top"/>
    </xf>
    <xf numFmtId="0" fontId="16" fillId="0" borderId="36" xfId="0" applyFont="1" applyFill="1" applyBorder="1" applyAlignment="1">
      <alignment vertical="top" wrapText="1"/>
    </xf>
    <xf numFmtId="0" fontId="16" fillId="0" borderId="37" xfId="0" applyFont="1" applyFill="1" applyBorder="1" applyAlignment="1">
      <alignment horizontal="left" vertical="top" wrapText="1"/>
    </xf>
    <xf numFmtId="0" fontId="20" fillId="0" borderId="0" xfId="0" applyFont="1"/>
    <xf numFmtId="0" fontId="24" fillId="0" borderId="0" xfId="0" applyFont="1"/>
    <xf numFmtId="0" fontId="2" fillId="0" borderId="36" xfId="0" applyFont="1" applyFill="1" applyBorder="1" applyAlignment="1">
      <alignment horizontal="center" vertical="center" textRotation="90" wrapText="1"/>
    </xf>
    <xf numFmtId="9" fontId="3" fillId="0" borderId="36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/>
    </xf>
    <xf numFmtId="166" fontId="15" fillId="0" borderId="36" xfId="0" applyNumberFormat="1" applyFont="1" applyBorder="1" applyAlignment="1">
      <alignment horizontal="center" vertical="center" textRotation="90" wrapText="1"/>
    </xf>
    <xf numFmtId="0" fontId="9" fillId="0" borderId="22" xfId="1" applyFont="1" applyBorder="1" applyAlignment="1">
      <alignment horizontal="justify" vertical="top" wrapText="1"/>
    </xf>
    <xf numFmtId="3" fontId="8" fillId="7" borderId="1" xfId="1" applyNumberFormat="1" applyFont="1" applyFill="1" applyBorder="1" applyAlignment="1">
      <alignment horizontal="right" vertical="center"/>
    </xf>
    <xf numFmtId="3" fontId="8" fillId="7" borderId="15" xfId="1" applyNumberFormat="1" applyFont="1" applyFill="1" applyBorder="1" applyAlignment="1">
      <alignment horizontal="right" vertical="center"/>
    </xf>
    <xf numFmtId="9" fontId="0" fillId="0" borderId="0" xfId="2" applyFont="1"/>
    <xf numFmtId="3" fontId="9" fillId="0" borderId="1" xfId="1" applyNumberFormat="1" applyFont="1" applyBorder="1" applyAlignment="1">
      <alignment vertical="center"/>
    </xf>
    <xf numFmtId="3" fontId="9" fillId="7" borderId="15" xfId="1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vertical="center"/>
    </xf>
    <xf numFmtId="4" fontId="8" fillId="7" borderId="15" xfId="1" applyNumberFormat="1" applyFont="1" applyFill="1" applyBorder="1" applyAlignment="1">
      <alignment vertical="center"/>
    </xf>
    <xf numFmtId="0" fontId="1" fillId="0" borderId="0" xfId="1"/>
    <xf numFmtId="0" fontId="1" fillId="0" borderId="0" xfId="1" applyFill="1" applyBorder="1" applyAlignment="1">
      <alignment horizontal="center"/>
    </xf>
    <xf numFmtId="0" fontId="1" fillId="0" borderId="0" xfId="1" applyFill="1" applyBorder="1" applyAlignment="1" applyProtection="1">
      <alignment horizontal="center"/>
      <protection locked="0"/>
    </xf>
    <xf numFmtId="0" fontId="1" fillId="0" borderId="0" xfId="1" applyFill="1"/>
    <xf numFmtId="164" fontId="15" fillId="0" borderId="36" xfId="0" applyNumberFormat="1" applyFont="1" applyFill="1" applyBorder="1" applyAlignment="1">
      <alignment horizontal="center" vertical="center" textRotation="90" wrapText="1"/>
    </xf>
    <xf numFmtId="166" fontId="15" fillId="0" borderId="36" xfId="0" applyNumberFormat="1" applyFont="1" applyFill="1" applyBorder="1" applyAlignment="1">
      <alignment horizontal="center" vertical="center" textRotation="90" wrapText="1"/>
    </xf>
    <xf numFmtId="0" fontId="1" fillId="0" borderId="0" xfId="1" applyFill="1" applyBorder="1"/>
    <xf numFmtId="17" fontId="27" fillId="0" borderId="0" xfId="1" applyNumberFormat="1" applyFont="1" applyFill="1" applyBorder="1" applyAlignment="1">
      <alignment horizontal="center"/>
    </xf>
    <xf numFmtId="167" fontId="1" fillId="0" borderId="0" xfId="3" applyNumberFormat="1" applyFill="1" applyBorder="1" applyProtection="1">
      <protection locked="0"/>
    </xf>
    <xf numFmtId="0" fontId="31" fillId="0" borderId="0" xfId="1" applyFont="1" applyFill="1" applyBorder="1"/>
    <xf numFmtId="167" fontId="1" fillId="0" borderId="0" xfId="1" applyNumberFormat="1" applyFill="1" applyBorder="1" applyProtection="1">
      <protection locked="0"/>
    </xf>
    <xf numFmtId="164" fontId="8" fillId="7" borderId="1" xfId="1" applyNumberFormat="1" applyFont="1" applyFill="1" applyBorder="1" applyAlignment="1">
      <alignment horizontal="center" vertical="center"/>
    </xf>
    <xf numFmtId="164" fontId="8" fillId="7" borderId="15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3" fillId="10" borderId="1" xfId="1" applyFont="1" applyFill="1" applyBorder="1" applyAlignment="1">
      <alignment horizontal="center" vertical="center"/>
    </xf>
    <xf numFmtId="17" fontId="27" fillId="10" borderId="1" xfId="1" applyNumberFormat="1" applyFont="1" applyFill="1" applyBorder="1" applyAlignment="1">
      <alignment horizontal="center" vertical="center"/>
    </xf>
    <xf numFmtId="0" fontId="2" fillId="0" borderId="1" xfId="1" quotePrefix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7" fontId="1" fillId="0" borderId="1" xfId="3" applyNumberFormat="1" applyFont="1" applyBorder="1" applyAlignment="1" applyProtection="1">
      <alignment vertical="center"/>
      <protection locked="0"/>
    </xf>
    <xf numFmtId="0" fontId="2" fillId="13" borderId="1" xfId="1" quotePrefix="1" applyFont="1" applyFill="1" applyBorder="1" applyAlignment="1">
      <alignment horizontal="right" vertical="center"/>
    </xf>
    <xf numFmtId="0" fontId="2" fillId="13" borderId="1" xfId="1" applyFont="1" applyFill="1" applyBorder="1" applyAlignment="1">
      <alignment vertical="center"/>
    </xf>
    <xf numFmtId="0" fontId="2" fillId="13" borderId="1" xfId="1" applyFont="1" applyFill="1" applyBorder="1" applyAlignment="1">
      <alignment horizontal="center" vertical="center"/>
    </xf>
    <xf numFmtId="167" fontId="1" fillId="13" borderId="1" xfId="3" applyNumberFormat="1" applyFont="1" applyFill="1" applyBorder="1" applyAlignment="1" applyProtection="1">
      <alignment vertical="center"/>
      <protection locked="0"/>
    </xf>
    <xf numFmtId="0" fontId="2" fillId="0" borderId="1" xfId="1" quotePrefix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11" borderId="1" xfId="1" quotePrefix="1" applyFont="1" applyFill="1" applyBorder="1" applyAlignment="1">
      <alignment horizontal="right" vertical="center"/>
    </xf>
    <xf numFmtId="0" fontId="2" fillId="11" borderId="1" xfId="1" applyFont="1" applyFill="1" applyBorder="1" applyAlignment="1">
      <alignment vertical="center"/>
    </xf>
    <xf numFmtId="0" fontId="2" fillId="11" borderId="1" xfId="1" applyFont="1" applyFill="1" applyBorder="1" applyAlignment="1">
      <alignment horizontal="center" vertical="center"/>
    </xf>
    <xf numFmtId="167" fontId="1" fillId="11" borderId="1" xfId="3" applyNumberFormat="1" applyFont="1" applyFill="1" applyBorder="1" applyAlignment="1" applyProtection="1">
      <alignment vertical="center"/>
      <protection locked="0"/>
    </xf>
    <xf numFmtId="167" fontId="1" fillId="0" borderId="1" xfId="1" applyNumberFormat="1" applyFont="1" applyBorder="1" applyAlignment="1" applyProtection="1">
      <alignment vertical="center"/>
      <protection locked="0"/>
    </xf>
    <xf numFmtId="167" fontId="1" fillId="11" borderId="1" xfId="1" applyNumberFormat="1" applyFont="1" applyFill="1" applyBorder="1" applyAlignment="1" applyProtection="1">
      <alignment vertical="center"/>
      <protection locked="0"/>
    </xf>
    <xf numFmtId="167" fontId="1" fillId="0" borderId="1" xfId="3" applyNumberFormat="1" applyFont="1" applyFill="1" applyBorder="1" applyAlignment="1" applyProtection="1">
      <alignment vertical="center"/>
      <protection locked="0"/>
    </xf>
    <xf numFmtId="167" fontId="1" fillId="14" borderId="1" xfId="3" applyNumberFormat="1" applyFont="1" applyFill="1" applyBorder="1" applyAlignment="1" applyProtection="1">
      <alignment vertical="center"/>
      <protection locked="0"/>
    </xf>
    <xf numFmtId="0" fontId="1" fillId="11" borderId="1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11" borderId="1" xfId="1" applyFont="1" applyFill="1" applyBorder="1" applyAlignment="1">
      <alignment horizontal="center" vertical="center"/>
    </xf>
    <xf numFmtId="167" fontId="1" fillId="14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</xf>
    <xf numFmtId="168" fontId="5" fillId="11" borderId="1" xfId="4" applyFont="1" applyFill="1" applyBorder="1" applyAlignment="1">
      <alignment horizontal="center" vertical="center"/>
    </xf>
    <xf numFmtId="17" fontId="1" fillId="12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4" fontId="32" fillId="14" borderId="1" xfId="5" applyNumberFormat="1" applyFont="1" applyFill="1" applyBorder="1" applyAlignment="1" applyProtection="1">
      <alignment horizontal="center" vertical="center"/>
      <protection locked="0"/>
    </xf>
    <xf numFmtId="9" fontId="32" fillId="14" borderId="1" xfId="5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9" fontId="1" fillId="14" borderId="1" xfId="5" applyNumberFormat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 wrapText="1"/>
    </xf>
    <xf numFmtId="10" fontId="1" fillId="14" borderId="1" xfId="5" applyNumberFormat="1" applyFont="1" applyFill="1" applyBorder="1" applyAlignment="1">
      <alignment horizontal="center" vertical="center"/>
    </xf>
    <xf numFmtId="9" fontId="1" fillId="14" borderId="1" xfId="5" applyFont="1" applyFill="1" applyBorder="1" applyAlignment="1">
      <alignment horizontal="center" vertical="center"/>
    </xf>
    <xf numFmtId="9" fontId="2" fillId="0" borderId="1" xfId="5" applyFont="1" applyFill="1" applyBorder="1" applyAlignment="1">
      <alignment horizontal="center" vertical="center"/>
    </xf>
    <xf numFmtId="4" fontId="1" fillId="14" borderId="1" xfId="1" applyNumberFormat="1" applyFont="1" applyFill="1" applyBorder="1" applyAlignment="1">
      <alignment horizontal="center" vertical="center"/>
    </xf>
    <xf numFmtId="167" fontId="1" fillId="14" borderId="1" xfId="3" applyNumberFormat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164" fontId="10" fillId="7" borderId="15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10" fillId="7" borderId="15" xfId="1" applyNumberFormat="1" applyFont="1" applyFill="1" applyBorder="1" applyAlignment="1">
      <alignment vertical="center"/>
    </xf>
    <xf numFmtId="164" fontId="14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horizontal="center" vertical="center"/>
    </xf>
    <xf numFmtId="169" fontId="1" fillId="0" borderId="1" xfId="9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167" fontId="1" fillId="0" borderId="1" xfId="9" applyNumberFormat="1" applyFont="1" applyFill="1" applyBorder="1" applyAlignment="1">
      <alignment vertical="center"/>
    </xf>
    <xf numFmtId="0" fontId="0" fillId="9" borderId="38" xfId="0" applyFill="1" applyBorder="1" applyAlignment="1">
      <alignment horizontal="center"/>
    </xf>
    <xf numFmtId="0" fontId="21" fillId="0" borderId="4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8" borderId="36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textRotation="90" wrapText="1"/>
    </xf>
    <xf numFmtId="0" fontId="6" fillId="8" borderId="36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textRotation="90" wrapText="1"/>
    </xf>
    <xf numFmtId="0" fontId="4" fillId="8" borderId="36" xfId="0" applyFont="1" applyFill="1" applyBorder="1" applyAlignment="1">
      <alignment horizontal="center" vertical="center" textRotation="90" wrapText="1"/>
    </xf>
    <xf numFmtId="0" fontId="18" fillId="8" borderId="33" xfId="0" applyFont="1" applyFill="1" applyBorder="1" applyAlignment="1">
      <alignment horizontal="right" vertical="center" wrapText="1"/>
    </xf>
    <xf numFmtId="0" fontId="18" fillId="8" borderId="34" xfId="0" applyFont="1" applyFill="1" applyBorder="1" applyAlignment="1">
      <alignment horizontal="right" vertical="center" wrapText="1"/>
    </xf>
    <xf numFmtId="0" fontId="26" fillId="0" borderId="34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2" xfId="1" applyFont="1" applyFill="1" applyBorder="1" applyAlignment="1">
      <alignment horizontal="left" vertical="center"/>
    </xf>
    <xf numFmtId="0" fontId="10" fillId="7" borderId="29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3" fillId="7" borderId="17" xfId="1" applyFont="1" applyFill="1" applyBorder="1" applyAlignment="1">
      <alignment horizontal="center" vertical="center"/>
    </xf>
    <xf numFmtId="0" fontId="23" fillId="7" borderId="19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8" fillId="7" borderId="45" xfId="1" applyFont="1" applyFill="1" applyBorder="1" applyAlignment="1">
      <alignment horizontal="left" vertical="center"/>
    </xf>
    <xf numFmtId="0" fontId="8" fillId="7" borderId="46" xfId="1" applyFont="1" applyFill="1" applyBorder="1" applyAlignment="1">
      <alignment horizontal="left" vertical="center"/>
    </xf>
    <xf numFmtId="0" fontId="8" fillId="7" borderId="47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10" fillId="7" borderId="2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6" xfId="1" applyFont="1" applyFill="1" applyBorder="1" applyAlignment="1">
      <alignment horizontal="center" vertical="center"/>
    </xf>
    <xf numFmtId="0" fontId="11" fillId="7" borderId="27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4" fillId="7" borderId="18" xfId="1" applyFont="1" applyFill="1" applyBorder="1" applyAlignment="1">
      <alignment horizontal="center" vertical="center" textRotation="90"/>
    </xf>
    <xf numFmtId="0" fontId="14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9" fillId="0" borderId="48" xfId="1" applyFont="1" applyBorder="1" applyAlignment="1">
      <alignment horizontal="justify" vertical="top" wrapText="1"/>
    </xf>
    <xf numFmtId="0" fontId="9" fillId="0" borderId="31" xfId="1" applyFont="1" applyBorder="1" applyAlignment="1">
      <alignment horizontal="justify" vertical="top" wrapText="1"/>
    </xf>
    <xf numFmtId="0" fontId="9" fillId="0" borderId="44" xfId="1" applyFont="1" applyBorder="1" applyAlignment="1">
      <alignment horizontal="justify" vertical="top" wrapText="1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0" fillId="7" borderId="15" xfId="1" applyFont="1" applyFill="1" applyBorder="1" applyAlignment="1">
      <alignment horizontal="left" vertical="center"/>
    </xf>
    <xf numFmtId="2" fontId="10" fillId="7" borderId="32" xfId="1" applyNumberFormat="1" applyFont="1" applyFill="1" applyBorder="1" applyAlignment="1">
      <alignment horizontal="left" vertical="center"/>
    </xf>
    <xf numFmtId="0" fontId="10" fillId="7" borderId="5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7" xfId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5" xfId="1" applyNumberFormat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1" fontId="10" fillId="7" borderId="25" xfId="1" applyNumberFormat="1" applyFont="1" applyFill="1" applyBorder="1" applyAlignment="1">
      <alignment horizontal="center" vertical="center"/>
    </xf>
    <xf numFmtId="1" fontId="10" fillId="7" borderId="26" xfId="1" applyNumberFormat="1" applyFont="1" applyFill="1" applyBorder="1" applyAlignment="1">
      <alignment horizontal="center" vertical="center"/>
    </xf>
    <xf numFmtId="1" fontId="10" fillId="7" borderId="27" xfId="1" applyNumberFormat="1" applyFont="1" applyFill="1" applyBorder="1" applyAlignment="1">
      <alignment horizontal="center" vertical="center"/>
    </xf>
    <xf numFmtId="0" fontId="14" fillId="7" borderId="21" xfId="1" applyFont="1" applyFill="1" applyBorder="1" applyAlignment="1">
      <alignment horizontal="center" vertical="center" textRotation="90"/>
    </xf>
    <xf numFmtId="0" fontId="9" fillId="7" borderId="30" xfId="1" applyFont="1" applyFill="1" applyBorder="1" applyAlignment="1">
      <alignment horizontal="justify" vertical="top" wrapText="1"/>
    </xf>
    <xf numFmtId="0" fontId="9" fillId="7" borderId="44" xfId="1" applyFont="1" applyFill="1" applyBorder="1" applyAlignment="1">
      <alignment horizontal="justify" vertical="top" wrapText="1"/>
    </xf>
    <xf numFmtId="0" fontId="0" fillId="0" borderId="44" xfId="0" applyBorder="1" applyAlignment="1">
      <alignment horizontal="justify" vertical="top"/>
    </xf>
    <xf numFmtId="0" fontId="3" fillId="10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1" applyFont="1" applyAlignment="1">
      <alignment horizontal="left"/>
    </xf>
    <xf numFmtId="0" fontId="28" fillId="0" borderId="0" xfId="1" applyFont="1" applyAlignment="1">
      <alignment horizontal="left"/>
    </xf>
    <xf numFmtId="0" fontId="29" fillId="0" borderId="0" xfId="1" applyFont="1" applyAlignment="1"/>
    <xf numFmtId="0" fontId="30" fillId="0" borderId="0" xfId="1" applyFont="1" applyBorder="1" applyAlignment="1" applyProtection="1">
      <alignment horizontal="left"/>
      <protection locked="0"/>
    </xf>
    <xf numFmtId="0" fontId="1" fillId="0" borderId="0" xfId="1" applyFont="1" applyAlignment="1"/>
    <xf numFmtId="0" fontId="1" fillId="0" borderId="49" xfId="1" applyFont="1" applyBorder="1" applyAlignment="1" applyProtection="1">
      <alignment horizontal="center"/>
      <protection locked="0"/>
    </xf>
  </cellXfs>
  <cellStyles count="10">
    <cellStyle name="Millares" xfId="9" builtinId="3"/>
    <cellStyle name="Millares 2" xfId="4"/>
    <cellStyle name="Millares_Tablero de Indicadores" xfId="3"/>
    <cellStyle name="Normal" xfId="0" builtinId="0"/>
    <cellStyle name="Normal 2" xfId="1"/>
    <cellStyle name="Normal 7" xfId="6"/>
    <cellStyle name="Normal 8" xfId="8"/>
    <cellStyle name="Normal 9" xfId="7"/>
    <cellStyle name="Porcentaje" xfId="2" builtinId="5"/>
    <cellStyle name="Porcentaje 2" xfId="5"/>
  </cellStyles>
  <dxfs count="2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9F-4D0E-9252-300D57ABC908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0.8593135048613697</c:v>
                </c:pt>
                <c:pt idx="1">
                  <c:v>0.72426277783584569</c:v>
                </c:pt>
                <c:pt idx="2">
                  <c:v>0.91837771619671693</c:v>
                </c:pt>
                <c:pt idx="3">
                  <c:v>0.80946695429348703</c:v>
                </c:pt>
                <c:pt idx="4">
                  <c:v>0.81786370637772954</c:v>
                </c:pt>
                <c:pt idx="5">
                  <c:v>0.89293967613931169</c:v>
                </c:pt>
                <c:pt idx="6">
                  <c:v>0.86358011028685533</c:v>
                </c:pt>
                <c:pt idx="7">
                  <c:v>0.78828262073482658</c:v>
                </c:pt>
                <c:pt idx="8">
                  <c:v>0.87694314512935567</c:v>
                </c:pt>
                <c:pt idx="9">
                  <c:v>0.81540666028537689</c:v>
                </c:pt>
                <c:pt idx="10">
                  <c:v>0.77479124642233366</c:v>
                </c:pt>
                <c:pt idx="11">
                  <c:v>0.84790741061991637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B9F-4D0E-9252-300D57ABC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21088"/>
        <c:axId val="179322880"/>
      </c:lineChart>
      <c:catAx>
        <c:axId val="1793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322880"/>
        <c:crosses val="autoZero"/>
        <c:auto val="1"/>
        <c:lblAlgn val="ctr"/>
        <c:lblOffset val="100"/>
        <c:noMultiLvlLbl val="0"/>
      </c:catAx>
      <c:valAx>
        <c:axId val="179322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3210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'10'!$C$16:$N$16</c:f>
              <c:numCache>
                <c:formatCode>0.0%</c:formatCode>
                <c:ptCount val="12"/>
                <c:pt idx="0">
                  <c:v>0.29899999999999999</c:v>
                </c:pt>
                <c:pt idx="1">
                  <c:v>0.29899999999999999</c:v>
                </c:pt>
                <c:pt idx="2">
                  <c:v>0.29899999999999999</c:v>
                </c:pt>
                <c:pt idx="3">
                  <c:v>0.29899999999999999</c:v>
                </c:pt>
                <c:pt idx="4">
                  <c:v>0.29899999999999999</c:v>
                </c:pt>
                <c:pt idx="5">
                  <c:v>0.29899999999999999</c:v>
                </c:pt>
                <c:pt idx="6">
                  <c:v>0.29899999999999999</c:v>
                </c:pt>
                <c:pt idx="7">
                  <c:v>0.29899999999999999</c:v>
                </c:pt>
                <c:pt idx="8">
                  <c:v>0.29899999999999999</c:v>
                </c:pt>
                <c:pt idx="9">
                  <c:v>0.29899999999999999</c:v>
                </c:pt>
                <c:pt idx="10">
                  <c:v>0.29899999999999999</c:v>
                </c:pt>
                <c:pt idx="11">
                  <c:v>0.29899999999999999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36-42E7-AD62-7A1D0859AFB4}"/>
            </c:ext>
          </c:extLst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'10'!$C$17:$N$17</c:f>
              <c:numCache>
                <c:formatCode>0.0%</c:formatCode>
                <c:ptCount val="12"/>
                <c:pt idx="0">
                  <c:v>0.26062850631136047</c:v>
                </c:pt>
                <c:pt idx="1">
                  <c:v>0.35676467000121997</c:v>
                </c:pt>
                <c:pt idx="2">
                  <c:v>0.35397513352596094</c:v>
                </c:pt>
                <c:pt idx="3">
                  <c:v>0.38211216644052465</c:v>
                </c:pt>
                <c:pt idx="4">
                  <c:v>0.40801972963098282</c:v>
                </c:pt>
                <c:pt idx="5">
                  <c:v>0.27372220817142989</c:v>
                </c:pt>
                <c:pt idx="6">
                  <c:v>0.37539334991087736</c:v>
                </c:pt>
                <c:pt idx="7">
                  <c:v>0.35755998337744144</c:v>
                </c:pt>
                <c:pt idx="8">
                  <c:v>0.28386716416909441</c:v>
                </c:pt>
                <c:pt idx="9">
                  <c:v>0.36437351671558144</c:v>
                </c:pt>
                <c:pt idx="10">
                  <c:v>0.28843137330119073</c:v>
                </c:pt>
                <c:pt idx="11">
                  <c:v>0.48188314944834504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36-42E7-AD62-7A1D0859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06912"/>
        <c:axId val="132190592"/>
      </c:lineChart>
      <c:catAx>
        <c:axId val="18040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2190592"/>
        <c:crosses val="autoZero"/>
        <c:auto val="1"/>
        <c:lblAlgn val="ctr"/>
        <c:lblOffset val="100"/>
        <c:noMultiLvlLbl val="0"/>
      </c:catAx>
      <c:valAx>
        <c:axId val="1321905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0406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'11'!$C$16:$N$16</c:f>
              <c:numCache>
                <c:formatCode>0%</c:formatCode>
                <c:ptCount val="12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FC-4D47-8EE3-B3ED0E0060C0}"/>
            </c:ext>
          </c:extLst>
        </c:ser>
        <c:ser>
          <c:idx val="1"/>
          <c:order val="1"/>
          <c:tx>
            <c:strRef>
              <c:f>'11'!$A$17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'11'!$C$17:$N$17</c:f>
              <c:numCache>
                <c:formatCode>0.0%</c:formatCode>
                <c:ptCount val="12"/>
                <c:pt idx="0">
                  <c:v>0.99583333333333335</c:v>
                </c:pt>
                <c:pt idx="1">
                  <c:v>0.99722222222222223</c:v>
                </c:pt>
                <c:pt idx="2">
                  <c:v>0.99444444444444446</c:v>
                </c:pt>
                <c:pt idx="3">
                  <c:v>0.99305555555555558</c:v>
                </c:pt>
                <c:pt idx="4">
                  <c:v>0.99722222222222223</c:v>
                </c:pt>
                <c:pt idx="5">
                  <c:v>0.9916666666666667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FC-4D47-8EE3-B3ED0E00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45376"/>
        <c:axId val="132246912"/>
      </c:lineChart>
      <c:catAx>
        <c:axId val="13224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2246912"/>
        <c:crosses val="autoZero"/>
        <c:auto val="1"/>
        <c:lblAlgn val="ctr"/>
        <c:lblOffset val="100"/>
        <c:noMultiLvlLbl val="0"/>
      </c:catAx>
      <c:valAx>
        <c:axId val="1322469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2245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D-44A3-B42A-68628C03CA31}"/>
            </c:ext>
          </c:extLst>
        </c:ser>
        <c:ser>
          <c:idx val="1"/>
          <c:order val="1"/>
          <c:tx>
            <c:strRef>
              <c:f>'12'!$A$17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'12'!$C$17:$N$17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D-44A3-B42A-68628C03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73856"/>
        <c:axId val="182475392"/>
      </c:lineChart>
      <c:catAx>
        <c:axId val="18247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2475392"/>
        <c:crosses val="autoZero"/>
        <c:auto val="1"/>
        <c:lblAlgn val="ctr"/>
        <c:lblOffset val="100"/>
        <c:noMultiLvlLbl val="0"/>
      </c:catAx>
      <c:valAx>
        <c:axId val="182475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2473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'13'!$C$16:$N$16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64-4C54-898D-2E6F2147058E}"/>
            </c:ext>
          </c:extLst>
        </c:ser>
        <c:ser>
          <c:idx val="1"/>
          <c:order val="1"/>
          <c:tx>
            <c:strRef>
              <c:f>'13'!$A$17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'13'!$C$17:$N$17</c:f>
              <c:numCache>
                <c:formatCode>0.0%</c:formatCode>
                <c:ptCount val="12"/>
                <c:pt idx="0">
                  <c:v>1.2055455093429777E-3</c:v>
                </c:pt>
                <c:pt idx="1">
                  <c:v>2.4009603841536613E-3</c:v>
                </c:pt>
                <c:pt idx="2">
                  <c:v>3.5885167464114833E-3</c:v>
                </c:pt>
                <c:pt idx="3">
                  <c:v>6.5789473684210523E-3</c:v>
                </c:pt>
                <c:pt idx="4">
                  <c:v>2.3880597014925373E-3</c:v>
                </c:pt>
                <c:pt idx="5">
                  <c:v>5.9523809523809521E-3</c:v>
                </c:pt>
                <c:pt idx="6">
                  <c:v>2.9779630732578916E-3</c:v>
                </c:pt>
                <c:pt idx="7">
                  <c:v>4.154302670623145E-3</c:v>
                </c:pt>
                <c:pt idx="8">
                  <c:v>2.3668639053254438E-3</c:v>
                </c:pt>
                <c:pt idx="9">
                  <c:v>4.7281323877068557E-3</c:v>
                </c:pt>
                <c:pt idx="10">
                  <c:v>2.9463759575721863E-3</c:v>
                </c:pt>
                <c:pt idx="11">
                  <c:v>3.5356511490866236E-3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64-4C54-898D-2E6F21470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11360"/>
        <c:axId val="182912896"/>
      </c:lineChart>
      <c:catAx>
        <c:axId val="18291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2912896"/>
        <c:crosses val="autoZero"/>
        <c:auto val="1"/>
        <c:lblAlgn val="ctr"/>
        <c:lblOffset val="100"/>
        <c:noMultiLvlLbl val="0"/>
      </c:catAx>
      <c:valAx>
        <c:axId val="182912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2911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21-4635-A35A-AD86FB910F88}"/>
            </c:ext>
          </c:extLst>
        </c:ser>
        <c:ser>
          <c:idx val="1"/>
          <c:order val="1"/>
          <c:tx>
            <c:strRef>
              <c:f>'14'!$A$17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'14'!$C$17:$N$17</c:f>
              <c:numCache>
                <c:formatCode>0.0%</c:formatCode>
                <c:ptCount val="12"/>
                <c:pt idx="0">
                  <c:v>0.96474209495382901</c:v>
                </c:pt>
                <c:pt idx="1">
                  <c:v>0.96377875673029867</c:v>
                </c:pt>
                <c:pt idx="2">
                  <c:v>0.96381989338777363</c:v>
                </c:pt>
                <c:pt idx="3">
                  <c:v>0.96386775892334697</c:v>
                </c:pt>
                <c:pt idx="4">
                  <c:v>0.96391550948562477</c:v>
                </c:pt>
                <c:pt idx="5">
                  <c:v>0.96402594849616674</c:v>
                </c:pt>
                <c:pt idx="6">
                  <c:v>0.96404306470157841</c:v>
                </c:pt>
                <c:pt idx="7">
                  <c:v>0.96417030982702912</c:v>
                </c:pt>
                <c:pt idx="8">
                  <c:v>0.96429339642933953</c:v>
                </c:pt>
                <c:pt idx="9">
                  <c:v>0.96430719871666348</c:v>
                </c:pt>
                <c:pt idx="10">
                  <c:v>0.96440129449838197</c:v>
                </c:pt>
                <c:pt idx="11">
                  <c:v>0.96434074400176095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21-4635-A35A-AD86FB91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81376"/>
        <c:axId val="183407744"/>
      </c:lineChart>
      <c:catAx>
        <c:axId val="18338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83407744"/>
        <c:crosses val="autoZero"/>
        <c:auto val="1"/>
        <c:lblAlgn val="ctr"/>
        <c:lblOffset val="100"/>
        <c:noMultiLvlLbl val="0"/>
      </c:catAx>
      <c:valAx>
        <c:axId val="1834077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83381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66"/>
      <c:hPercent val="57"/>
      <c:rotY val="39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56255841259646E-2"/>
          <c:y val="1.049871457388701E-2"/>
          <c:w val="0.91718819975904575"/>
          <c:h val="0.85826991641526362"/>
        </c:manualLayout>
      </c:layout>
      <c:bar3DChart>
        <c:barDir val="col"/>
        <c:grouping val="standard"/>
        <c:varyColors val="0"/>
        <c:ser>
          <c:idx val="0"/>
          <c:order val="0"/>
          <c:tx>
            <c:v>Acueducto</c:v>
          </c:tx>
          <c:invertIfNegative val="0"/>
          <c:dLbls>
            <c:dLbl>
              <c:idx val="0"/>
              <c:layout>
                <c:manualLayout>
                  <c:x val="3.1626562159270811E-3"/>
                  <c:y val="-0.10362318148700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05-464D-9051-6FB1EE3A0666}"/>
                </c:ext>
              </c:extLst>
            </c:dLbl>
            <c:dLbl>
              <c:idx val="1"/>
              <c:layout>
                <c:manualLayout>
                  <c:x val="7.7893490880024058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05-464D-9051-6FB1EE3A0666}"/>
                </c:ext>
              </c:extLst>
            </c:dLbl>
            <c:dLbl>
              <c:idx val="2"/>
              <c:layout>
                <c:manualLayout>
                  <c:x val="9.2910395758895748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05-464D-9051-6FB1EE3A0666}"/>
                </c:ext>
              </c:extLst>
            </c:dLbl>
            <c:dLbl>
              <c:idx val="3"/>
              <c:layout>
                <c:manualLayout>
                  <c:x val="7.6677276795890596E-3"/>
                  <c:y val="-0.10362318148700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05-464D-9051-6FB1EE3A0666}"/>
                </c:ext>
              </c:extLst>
            </c:dLbl>
            <c:dLbl>
              <c:idx val="4"/>
              <c:layout>
                <c:manualLayout>
                  <c:x val="9.1694181674763526E-3"/>
                  <c:y val="-8.787510962616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05-464D-9051-6FB1EE3A0666}"/>
                </c:ext>
              </c:extLst>
            </c:dLbl>
            <c:dLbl>
              <c:idx val="5"/>
              <c:layout>
                <c:manualLayout>
                  <c:x val="1.3796111039551327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05-464D-9051-6FB1EE3A0666}"/>
                </c:ext>
              </c:extLst>
            </c:dLbl>
            <c:dLbl>
              <c:idx val="6"/>
              <c:layout>
                <c:manualLayout>
                  <c:x val="1.5297965569433402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05-464D-9051-6FB1EE3A0666}"/>
                </c:ext>
              </c:extLst>
            </c:dLbl>
            <c:dLbl>
              <c:idx val="7"/>
              <c:layout>
                <c:manualLayout>
                  <c:x val="1.6799656057320637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05-464D-9051-6FB1EE3A0666}"/>
                </c:ext>
              </c:extLst>
            </c:dLbl>
            <c:dLbl>
              <c:idx val="8"/>
              <c:layout>
                <c:manualLayout>
                  <c:x val="1.8301346545207983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05-464D-9051-6FB1EE3A0666}"/>
                </c:ext>
              </c:extLst>
            </c:dLbl>
            <c:dLbl>
              <c:idx val="9"/>
              <c:layout>
                <c:manualLayout>
                  <c:x val="1.9802872991101148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05-464D-9051-6FB1EE3A0666}"/>
                </c:ext>
              </c:extLst>
            </c:dLbl>
            <c:dLbl>
              <c:idx val="10"/>
              <c:layout>
                <c:manualLayout>
                  <c:x val="2.1304727520982676E-2"/>
                  <c:y val="-8.5250430982700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05-464D-9051-6FB1EE3A0666}"/>
                </c:ext>
              </c:extLst>
            </c:dLbl>
            <c:dLbl>
              <c:idx val="11"/>
              <c:layout>
                <c:manualLayout>
                  <c:x val="2.2806418008870916E-2"/>
                  <c:y val="-8.000107369575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05-464D-9051-6FB1EE3A0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'TARQUI-18'!$D$52:$J$52</c:f>
              <c:numCache>
                <c:formatCode>mmm\-yy</c:formatCode>
                <c:ptCount val="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</c:numCache>
            </c:numRef>
          </c:cat>
          <c:val>
            <c:numRef>
              <c:f>'TARQUI-18'!$D$53:$J$53</c:f>
              <c:numCache>
                <c:formatCode>0%</c:formatCode>
                <c:ptCount val="7"/>
                <c:pt idx="0">
                  <c:v>0.99044776119402989</c:v>
                </c:pt>
                <c:pt idx="1">
                  <c:v>0.99048751486325803</c:v>
                </c:pt>
                <c:pt idx="2">
                  <c:v>0.99052132701421802</c:v>
                </c:pt>
                <c:pt idx="3">
                  <c:v>0.99052132701421802</c:v>
                </c:pt>
                <c:pt idx="4">
                  <c:v>0.99053814311058541</c:v>
                </c:pt>
                <c:pt idx="5">
                  <c:v>0.99056603773584906</c:v>
                </c:pt>
                <c:pt idx="6">
                  <c:v>0.99056047197640118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305-464D-9051-6FB1EE3A0666}"/>
            </c:ext>
          </c:extLst>
        </c:ser>
        <c:ser>
          <c:idx val="1"/>
          <c:order val="1"/>
          <c:tx>
            <c:v>Alcanatrillado</c:v>
          </c:tx>
          <c:invertIfNegative val="0"/>
          <c:dLbls>
            <c:dLbl>
              <c:idx val="0"/>
              <c:layout>
                <c:manualLayout>
                  <c:x val="6.5585229278869485E-3"/>
                  <c:y val="-0.136455752413419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05-464D-9051-6FB1EE3A0666}"/>
                </c:ext>
              </c:extLst>
            </c:dLbl>
            <c:dLbl>
              <c:idx val="1"/>
              <c:layout>
                <c:manualLayout>
                  <c:x val="8.0602134157742467E-3"/>
                  <c:y val="-0.13908043105689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05-464D-9051-6FB1EE3A0666}"/>
                </c:ext>
              </c:extLst>
            </c:dLbl>
            <c:dLbl>
              <c:idx val="2"/>
              <c:layout>
                <c:manualLayout>
                  <c:x val="3.3120631772811113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05-464D-9051-6FB1EE3A0666}"/>
                </c:ext>
              </c:extLst>
            </c:dLbl>
            <c:dLbl>
              <c:idx val="3"/>
              <c:layout>
                <c:manualLayout>
                  <c:x val="1.1063758433543685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05-464D-9051-6FB1EE3A0666}"/>
                </c:ext>
              </c:extLst>
            </c:dLbl>
            <c:dLbl>
              <c:idx val="4"/>
              <c:layout>
                <c:manualLayout>
                  <c:x val="9.4404465372440252E-3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05-464D-9051-6FB1EE3A0666}"/>
                </c:ext>
              </c:extLst>
            </c:dLbl>
            <c:dLbl>
              <c:idx val="5"/>
              <c:layout>
                <c:manualLayout>
                  <c:x val="1.0942137025130683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305-464D-9051-6FB1EE3A0666}"/>
                </c:ext>
              </c:extLst>
            </c:dLbl>
            <c:dLbl>
              <c:idx val="6"/>
              <c:layout>
                <c:manualLayout>
                  <c:x val="1.2443827513018488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05-464D-9051-6FB1EE3A0666}"/>
                </c:ext>
              </c:extLst>
            </c:dLbl>
            <c:dLbl>
              <c:idx val="7"/>
              <c:layout>
                <c:manualLayout>
                  <c:x val="1.3945518000905771E-2"/>
                  <c:y val="-0.11545832326564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05-464D-9051-6FB1EE3A0666}"/>
                </c:ext>
              </c:extLst>
            </c:dLbl>
            <c:dLbl>
              <c:idx val="8"/>
              <c:layout>
                <c:manualLayout>
                  <c:x val="1.2322206104605014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05-464D-9051-6FB1EE3A0666}"/>
                </c:ext>
              </c:extLst>
            </c:dLbl>
            <c:dLbl>
              <c:idx val="9"/>
              <c:layout>
                <c:manualLayout>
                  <c:x val="2.0073901360867612E-2"/>
                  <c:y val="-0.110208965978702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05-464D-9051-6FB1EE3A0666}"/>
                </c:ext>
              </c:extLst>
            </c:dLbl>
            <c:dLbl>
              <c:idx val="10"/>
              <c:layout>
                <c:manualLayout>
                  <c:x val="2.1575591848754946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05-464D-9051-6FB1EE3A0666}"/>
                </c:ext>
              </c:extLst>
            </c:dLbl>
            <c:dLbl>
              <c:idx val="11"/>
              <c:layout>
                <c:manualLayout>
                  <c:x val="1.6827277568267577E-2"/>
                  <c:y val="-9.9710251404815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05-464D-9051-6FB1EE3A0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'TARQUI-18'!$D$52:$J$52</c:f>
              <c:numCache>
                <c:formatCode>mmm\-yy</c:formatCode>
                <c:ptCount val="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</c:numCache>
            </c:numRef>
          </c:cat>
          <c:val>
            <c:numRef>
              <c:f>'TARQUI-18'!$D$54:$J$54</c:f>
              <c:numCache>
                <c:formatCode>0%</c:formatCode>
                <c:ptCount val="7"/>
                <c:pt idx="0">
                  <c:v>0.96597014925373137</c:v>
                </c:pt>
                <c:pt idx="1">
                  <c:v>0.96551724137931039</c:v>
                </c:pt>
                <c:pt idx="2">
                  <c:v>0.96563981042654023</c:v>
                </c:pt>
                <c:pt idx="3">
                  <c:v>0.96563981042654023</c:v>
                </c:pt>
                <c:pt idx="4">
                  <c:v>0.9657007687758723</c:v>
                </c:pt>
                <c:pt idx="5">
                  <c:v>0.96580188679245282</c:v>
                </c:pt>
                <c:pt idx="6">
                  <c:v>0.96578171091445431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F305-464D-9051-6FB1EE3A0666}"/>
            </c:ext>
          </c:extLst>
        </c:ser>
        <c:ser>
          <c:idx val="2"/>
          <c:order val="2"/>
          <c:tx>
            <c:v>Aseo</c:v>
          </c:tx>
          <c:invertIfNegative val="0"/>
          <c:dLbls>
            <c:dLbl>
              <c:idx val="0"/>
              <c:layout>
                <c:manualLayout>
                  <c:x val="8.3295512976541228E-3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05-464D-9051-6FB1EE3A0666}"/>
                </c:ext>
              </c:extLst>
            </c:dLbl>
            <c:dLbl>
              <c:idx val="1"/>
              <c:layout>
                <c:manualLayout>
                  <c:x val="8.2687405934475048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05-464D-9051-6FB1EE3A0666}"/>
                </c:ext>
              </c:extLst>
            </c:dLbl>
            <c:dLbl>
              <c:idx val="2"/>
              <c:layout>
                <c:manualLayout>
                  <c:x val="1.13329322734286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05-464D-9051-6FB1EE3A0666}"/>
                </c:ext>
              </c:extLst>
            </c:dLbl>
            <c:dLbl>
              <c:idx val="3"/>
              <c:layout>
                <c:manualLayout>
                  <c:x val="8.1471191850344959E-3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05-464D-9051-6FB1EE3A0666}"/>
                </c:ext>
              </c:extLst>
            </c:dLbl>
            <c:dLbl>
              <c:idx val="4"/>
              <c:layout>
                <c:manualLayout>
                  <c:x val="1.7461315633390855E-2"/>
                  <c:y val="-0.133767682680301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305-464D-9051-6FB1EE3A0666}"/>
                </c:ext>
              </c:extLst>
            </c:dLbl>
            <c:dLbl>
              <c:idx val="5"/>
              <c:layout>
                <c:manualLayout>
                  <c:x val="1.2713001352902861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305-464D-9051-6FB1EE3A0666}"/>
                </c:ext>
              </c:extLst>
            </c:dLbl>
            <c:dLbl>
              <c:idx val="6"/>
              <c:layout>
                <c:manualLayout>
                  <c:x val="1.4214691840790198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305-464D-9051-6FB1EE3A0666}"/>
                </c:ext>
              </c:extLst>
            </c:dLbl>
            <c:dLbl>
              <c:idx val="7"/>
              <c:layout>
                <c:manualLayout>
                  <c:x val="1.5716382328677544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305-464D-9051-6FB1EE3A0666}"/>
                </c:ext>
              </c:extLst>
            </c:dLbl>
            <c:dLbl>
              <c:idx val="8"/>
              <c:layout>
                <c:manualLayout>
                  <c:x val="1.721807281656489E-2"/>
                  <c:y val="-0.131143004036824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305-464D-9051-6FB1EE3A0666}"/>
                </c:ext>
              </c:extLst>
            </c:dLbl>
            <c:dLbl>
              <c:idx val="9"/>
              <c:layout>
                <c:manualLayout>
                  <c:x val="1.8719763304452127E-2"/>
                  <c:y val="-0.11539493217599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305-464D-9051-6FB1EE3A0666}"/>
                </c:ext>
              </c:extLst>
            </c:dLbl>
            <c:dLbl>
              <c:idx val="10"/>
              <c:layout>
                <c:manualLayout>
                  <c:x val="2.3346456176527138E-2"/>
                  <c:y val="-0.125893646749881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305-464D-9051-6FB1EE3A0666}"/>
                </c:ext>
              </c:extLst>
            </c:dLbl>
            <c:dLbl>
              <c:idx val="11"/>
              <c:layout>
                <c:manualLayout>
                  <c:x val="2.4848146664415295E-2"/>
                  <c:y val="-0.12064428946294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305-464D-9051-6FB1EE3A0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'TARQUI-18'!$D$52:$J$52</c:f>
              <c:numCache>
                <c:formatCode>mmm\-yy</c:formatCode>
                <c:ptCount val="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</c:numCache>
            </c:numRef>
          </c:cat>
          <c:val>
            <c:numRef>
              <c:f>'TARQUI-18'!$D$55:$J$55</c:f>
              <c:numCache>
                <c:formatCode>0%</c:formatCode>
                <c:ptCount val="7"/>
                <c:pt idx="0">
                  <c:v>0.96477611940298502</c:v>
                </c:pt>
                <c:pt idx="1">
                  <c:v>0.96373365041617121</c:v>
                </c:pt>
                <c:pt idx="2">
                  <c:v>0.96386255924170616</c:v>
                </c:pt>
                <c:pt idx="3">
                  <c:v>0.96386255924170616</c:v>
                </c:pt>
                <c:pt idx="4">
                  <c:v>0.96392667060910708</c:v>
                </c:pt>
                <c:pt idx="5">
                  <c:v>0.96403301886792447</c:v>
                </c:pt>
                <c:pt idx="6">
                  <c:v>0.96401179941002946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6-F305-464D-9051-6FB1EE3A06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3717888"/>
        <c:axId val="183719424"/>
        <c:axId val="183405184"/>
      </c:bar3DChart>
      <c:dateAx>
        <c:axId val="183717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3719424"/>
        <c:crosses val="autoZero"/>
        <c:auto val="1"/>
        <c:lblOffset val="100"/>
        <c:baseTimeUnit val="months"/>
        <c:majorUnit val="1"/>
        <c:minorUnit val="1"/>
      </c:dateAx>
      <c:valAx>
        <c:axId val="1837194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3717888"/>
        <c:crosses val="autoZero"/>
        <c:crossBetween val="between"/>
      </c:valAx>
      <c:serAx>
        <c:axId val="183405184"/>
        <c:scaling>
          <c:orientation val="minMax"/>
        </c:scaling>
        <c:delete val="1"/>
        <c:axPos val="b"/>
        <c:majorTickMark val="out"/>
        <c:minorTickMark val="none"/>
        <c:tickLblPos val="none"/>
        <c:crossAx val="18371942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343742218847843E-2"/>
          <c:y val="0.90861618798955557"/>
          <c:w val="0.45625027042692723"/>
          <c:h val="7.3107049608355096E-2"/>
        </c:manualLayout>
      </c:layout>
      <c:overlay val="0"/>
      <c:txPr>
        <a:bodyPr/>
        <a:lstStyle/>
        <a:p>
          <a:pPr>
            <a:defRPr lang="es-ES"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INDICADORE</a:t>
            </a:r>
            <a:r>
              <a:rPr lang="es-CO" sz="1200" u="sng" baseline="0"/>
              <a:t> DE FACTURACION Y RECAUDO DEL CORRIENTE</a:t>
            </a:r>
            <a:endParaRPr lang="es-CO" sz="1200" u="sng"/>
          </a:p>
          <a:p>
            <a:pPr>
              <a:defRPr lang="es-ES" u="sng"/>
            </a:pPr>
            <a:r>
              <a:rPr lang="es-CO" sz="1200" u="sng"/>
              <a:t>TARQUI</a:t>
            </a:r>
          </a:p>
        </c:rich>
      </c:tx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'TARQUI-18'!$B$43</c:f>
              <c:strCache>
                <c:ptCount val="1"/>
                <c:pt idx="0">
                  <c:v>Total Facturado Corriente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'TARQUI-18'!$D$42:$I$42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43163</c:v>
                </c:pt>
                <c:pt idx="3">
                  <c:v>43194</c:v>
                </c:pt>
                <c:pt idx="4">
                  <c:v>43225</c:v>
                </c:pt>
                <c:pt idx="5">
                  <c:v>43256</c:v>
                </c:pt>
              </c:numCache>
            </c:numRef>
          </c:cat>
          <c:val>
            <c:numRef>
              <c:f>'TARQUI-18'!$D$43:$I$43</c:f>
              <c:numCache>
                <c:formatCode>_-* #,##0_-;\-* #,##0_-;_-* "-"??_-;_-@_-</c:formatCode>
                <c:ptCount val="6"/>
                <c:pt idx="0">
                  <c:v>25239800</c:v>
                </c:pt>
                <c:pt idx="1">
                  <c:v>22004900</c:v>
                </c:pt>
                <c:pt idx="2">
                  <c:v>25056405</c:v>
                </c:pt>
                <c:pt idx="3">
                  <c:v>23509166</c:v>
                </c:pt>
                <c:pt idx="4">
                  <c:v>24163317</c:v>
                </c:pt>
                <c:pt idx="5">
                  <c:v>27254373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B6-4953-94BC-A037BEE717D5}"/>
            </c:ext>
          </c:extLst>
        </c:ser>
        <c:ser>
          <c:idx val="1"/>
          <c:order val="1"/>
          <c:tx>
            <c:strRef>
              <c:f>'TARQUI-18'!$B$44</c:f>
              <c:strCache>
                <c:ptCount val="1"/>
                <c:pt idx="0">
                  <c:v>Total Recaudado Corriente</c:v>
                </c:pt>
              </c:strCache>
            </c:strRef>
          </c:tx>
          <c:spPr>
            <a:solidFill>
              <a:srgbClr val="B91777"/>
            </a:solidFill>
            <a:ln w="12700" cmpd="sng">
              <a:noFill/>
            </a:ln>
            <a:effectLst>
              <a:innerShdw blurRad="63500" dist="50800" dir="10560000">
                <a:srgbClr val="7030A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relaxedInset"/>
              <a:bevelB w="44450" h="50800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'TARQUI-18'!$D$42:$I$42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43163</c:v>
                </c:pt>
                <c:pt idx="3">
                  <c:v>43194</c:v>
                </c:pt>
                <c:pt idx="4">
                  <c:v>43225</c:v>
                </c:pt>
                <c:pt idx="5">
                  <c:v>43256</c:v>
                </c:pt>
              </c:numCache>
            </c:numRef>
          </c:cat>
          <c:val>
            <c:numRef>
              <c:f>'TARQUI-18'!$D$44:$I$44</c:f>
              <c:numCache>
                <c:formatCode>_-* #,##0_-;\-* #,##0_-;_-* "-"??_-;_-@_-</c:formatCode>
                <c:ptCount val="6"/>
                <c:pt idx="0">
                  <c:v>21688901</c:v>
                </c:pt>
                <c:pt idx="1">
                  <c:v>15937330</c:v>
                </c:pt>
                <c:pt idx="2">
                  <c:v>23011244</c:v>
                </c:pt>
                <c:pt idx="3">
                  <c:v>19029893</c:v>
                </c:pt>
                <c:pt idx="4">
                  <c:v>19762300</c:v>
                </c:pt>
                <c:pt idx="5">
                  <c:v>24336511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B6-4953-94BC-A037BEE7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936128"/>
        <c:axId val="183937664"/>
        <c:axId val="0"/>
      </c:bar3DChart>
      <c:dateAx>
        <c:axId val="183936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3937664"/>
        <c:crosses val="autoZero"/>
        <c:auto val="1"/>
        <c:lblOffset val="100"/>
        <c:baseTimeUnit val="months"/>
      </c:dateAx>
      <c:valAx>
        <c:axId val="183937664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393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31335328748167"/>
          <c:y val="0.48162721703818839"/>
          <c:w val="0.28695262864501492"/>
          <c:h val="0.21123226617857124"/>
        </c:manualLayout>
      </c:layout>
      <c:overlay val="0"/>
      <c:spPr>
        <a:ln>
          <a:noFill/>
        </a:ln>
      </c:spPr>
      <c:txPr>
        <a:bodyPr/>
        <a:lstStyle/>
        <a:p>
          <a:pPr>
            <a:defRPr lang="es-ES" sz="1000" b="1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515098770548553"/>
          <c:y val="2.7777777777777981E-2"/>
        </c:manualLayout>
      </c:layout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34188470787394"/>
          <c:y val="0.30086127397768597"/>
          <c:w val="0.69348998480453106"/>
          <c:h val="0.576234324876055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'TARQUI-18'!$B$57:$C$57</c:f>
              <c:strCache>
                <c:ptCount val="1"/>
                <c:pt idx="0">
                  <c:v>Índice de Agua No Contabilizada (%)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50800" dir="5400000" algn="ctr" rotWithShape="0">
                <a:schemeClr val="accent4">
                  <a:lumMod val="75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'TARQUI-18'!$D$4:$I$4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43163</c:v>
                </c:pt>
                <c:pt idx="3">
                  <c:v>43194</c:v>
                </c:pt>
                <c:pt idx="4">
                  <c:v>43225</c:v>
                </c:pt>
                <c:pt idx="5">
                  <c:v>43256</c:v>
                </c:pt>
              </c:numCache>
            </c:numRef>
          </c:cat>
          <c:val>
            <c:numRef>
              <c:f>'TARQUI-18'!$D$57:$I$57</c:f>
              <c:numCache>
                <c:formatCode>0.00%</c:formatCode>
                <c:ptCount val="6"/>
                <c:pt idx="0">
                  <c:v>0.2606</c:v>
                </c:pt>
                <c:pt idx="1">
                  <c:v>0.35680000000000001</c:v>
                </c:pt>
                <c:pt idx="2">
                  <c:v>0.35399999999999998</c:v>
                </c:pt>
                <c:pt idx="3">
                  <c:v>0.3821</c:v>
                </c:pt>
                <c:pt idx="4">
                  <c:v>0.40799999999999997</c:v>
                </c:pt>
                <c:pt idx="5">
                  <c:v>0.2737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BC-497D-B468-367B8C083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246272"/>
        <c:axId val="184247808"/>
        <c:axId val="0"/>
      </c:bar3DChart>
      <c:dateAx>
        <c:axId val="184246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 sz="700" baseline="0"/>
            </a:pPr>
            <a:endParaRPr lang="es-CO"/>
          </a:p>
        </c:txPr>
        <c:crossAx val="184247808"/>
        <c:crosses val="autoZero"/>
        <c:auto val="1"/>
        <c:lblOffset val="100"/>
        <c:baseTimeUnit val="months"/>
      </c:dateAx>
      <c:valAx>
        <c:axId val="184247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spPr>
          <a:ln>
            <a:solidFill>
              <a:srgbClr val="FE6666"/>
            </a:solidFill>
          </a:ln>
        </c:spPr>
        <c:txPr>
          <a:bodyPr/>
          <a:lstStyle/>
          <a:p>
            <a:pPr>
              <a:defRPr lang="es-ES" sz="700" baseline="0"/>
            </a:pPr>
            <a:endParaRPr lang="es-CO"/>
          </a:p>
        </c:txPr>
        <c:crossAx val="18424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29388797385665"/>
          <c:y val="0.6918483531665709"/>
          <c:w val="0.24945752420261877"/>
          <c:h val="9.9048208883610628E-2"/>
        </c:manualLayout>
      </c:layout>
      <c:overlay val="0"/>
      <c:txPr>
        <a:bodyPr/>
        <a:lstStyle/>
        <a:p>
          <a:pPr>
            <a:defRPr lang="es-ES" sz="700" baseline="0"/>
          </a:pPr>
          <a:endParaRPr lang="es-CO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gradFill flip="none" rotWithShape="1">
        <a:gsLst>
          <a:gs pos="0">
            <a:schemeClr val="accent4">
              <a:lumMod val="40000"/>
              <a:lumOff val="60000"/>
            </a:schemeClr>
          </a:gs>
          <a:gs pos="50000">
            <a:srgbClr val="4F81BD">
              <a:tint val="44500"/>
              <a:satMod val="160000"/>
            </a:srgbClr>
          </a:gs>
          <a:gs pos="100000">
            <a:srgbClr val="4F81BD">
              <a:tint val="23500"/>
              <a:satMod val="160000"/>
            </a:srgbClr>
          </a:gs>
        </a:gsLst>
        <a:path path="circle">
          <a:fillToRect l="100000" t="100000"/>
        </a:path>
        <a:tileRect r="-100000" b="-100000"/>
      </a:gradFill>
    </a:ln>
    <a:scene3d>
      <a:camera prst="orthographicFront"/>
      <a:lightRig rig="threePt" dir="t"/>
    </a:scene3d>
    <a:sp3d>
      <a:bevelB w="165100" prst="coolSlant"/>
    </a:sp3d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u="sng"/>
            </a:pPr>
            <a:r>
              <a:rPr lang="es-CO" sz="1200" u="sng"/>
              <a:t>INDICADORE</a:t>
            </a:r>
            <a:r>
              <a:rPr lang="es-CO" sz="1200" u="sng" baseline="0"/>
              <a:t> DE FACTURACION Y RECAUDO DE LA DEUDA</a:t>
            </a:r>
            <a:endParaRPr lang="es-CO" sz="1200" u="sng"/>
          </a:p>
          <a:p>
            <a:pPr>
              <a:defRPr lang="es-ES" u="sng"/>
            </a:pPr>
            <a:r>
              <a:rPr lang="es-CO" sz="1200" u="sng"/>
              <a:t>TARQUI</a:t>
            </a:r>
          </a:p>
        </c:rich>
      </c:tx>
      <c:overlay val="0"/>
    </c:title>
    <c:autoTitleDeleted val="0"/>
    <c:view3D>
      <c:rotX val="90"/>
      <c:rotY val="2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'TARQUI-18'!$B$46</c:f>
              <c:strCache>
                <c:ptCount val="1"/>
                <c:pt idx="0">
                  <c:v>Total Facturado deuda</c:v>
                </c:pt>
              </c:strCache>
            </c:strRef>
          </c:tx>
          <c:spPr>
            <a:solidFill>
              <a:srgbClr val="7030A0"/>
            </a:solidFill>
            <a:ln w="6350">
              <a:noFill/>
            </a:ln>
            <a:effectLst>
              <a:innerShdw blurRad="63500" dist="50800" dir="13500000">
                <a:schemeClr val="accent2">
                  <a:lumMod val="60000"/>
                  <a:lumOff val="40000"/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angle"/>
              <a:bevelB w="139700" prst="cross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'TARQUI-18'!$D$45:$I$45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43163</c:v>
                </c:pt>
                <c:pt idx="3">
                  <c:v>43194</c:v>
                </c:pt>
                <c:pt idx="4">
                  <c:v>43225</c:v>
                </c:pt>
                <c:pt idx="5">
                  <c:v>43256</c:v>
                </c:pt>
              </c:numCache>
            </c:numRef>
          </c:cat>
          <c:val>
            <c:numRef>
              <c:f>'TARQUI-18'!$D$46:$I$46</c:f>
              <c:numCache>
                <c:formatCode>_-* #,##0_-;\-* #,##0_-;_-* "-"??_-;_-@_-</c:formatCode>
                <c:ptCount val="6"/>
                <c:pt idx="0">
                  <c:v>7866350</c:v>
                </c:pt>
                <c:pt idx="1">
                  <c:v>7926600</c:v>
                </c:pt>
                <c:pt idx="2">
                  <c:v>9742295</c:v>
                </c:pt>
                <c:pt idx="3">
                  <c:v>8527350</c:v>
                </c:pt>
                <c:pt idx="4">
                  <c:v>10332116</c:v>
                </c:pt>
                <c:pt idx="5">
                  <c:v>7357183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27-49F0-AB4A-5CDBE7C7B5E1}"/>
            </c:ext>
          </c:extLst>
        </c:ser>
        <c:ser>
          <c:idx val="1"/>
          <c:order val="1"/>
          <c:tx>
            <c:strRef>
              <c:f>'TARQUI-18'!$B$47</c:f>
              <c:strCache>
                <c:ptCount val="1"/>
                <c:pt idx="0">
                  <c:v>Total Recaudado deuda</c:v>
                </c:pt>
              </c:strCache>
            </c:strRef>
          </c:tx>
          <c:spPr>
            <a:solidFill>
              <a:srgbClr val="B91777"/>
            </a:solidFill>
            <a:ln w="12700" cmpd="sng">
              <a:noFill/>
            </a:ln>
            <a:effectLst>
              <a:innerShdw blurRad="63500" dist="50800" dir="10560000">
                <a:srgbClr val="7030A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 prstMaterial="dkEdge">
              <a:bevelT prst="relaxedInset"/>
              <a:bevelB w="44450" h="50800" prst="coolSlan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7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'TARQUI-18'!$D$45:$I$45</c:f>
              <c:numCache>
                <c:formatCode>mmm\-yy</c:formatCode>
                <c:ptCount val="6"/>
                <c:pt idx="0">
                  <c:v>43101</c:v>
                </c:pt>
                <c:pt idx="1">
                  <c:v>43132</c:v>
                </c:pt>
                <c:pt idx="2">
                  <c:v>43163</c:v>
                </c:pt>
                <c:pt idx="3">
                  <c:v>43194</c:v>
                </c:pt>
                <c:pt idx="4">
                  <c:v>43225</c:v>
                </c:pt>
                <c:pt idx="5">
                  <c:v>43256</c:v>
                </c:pt>
              </c:numCache>
            </c:numRef>
          </c:cat>
          <c:val>
            <c:numRef>
              <c:f>'TARQUI-18'!$D$47:$I$47</c:f>
              <c:numCache>
                <c:formatCode>_-* #,##0_-;\-* #,##0_-;_-* "-"??_-;_-@_-</c:formatCode>
                <c:ptCount val="6"/>
                <c:pt idx="0">
                  <c:v>3338199</c:v>
                </c:pt>
                <c:pt idx="1">
                  <c:v>2274375</c:v>
                </c:pt>
                <c:pt idx="2">
                  <c:v>5051756</c:v>
                </c:pt>
                <c:pt idx="3">
                  <c:v>3001607</c:v>
                </c:pt>
                <c:pt idx="4">
                  <c:v>6395600</c:v>
                </c:pt>
                <c:pt idx="5">
                  <c:v>3435289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27-49F0-AB4A-5CDBE7C7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4283520"/>
        <c:axId val="184285056"/>
        <c:axId val="0"/>
      </c:bar3DChart>
      <c:dateAx>
        <c:axId val="18428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285056"/>
        <c:crosses val="autoZero"/>
        <c:auto val="1"/>
        <c:lblOffset val="100"/>
        <c:baseTimeUnit val="months"/>
      </c:dateAx>
      <c:valAx>
        <c:axId val="184285056"/>
        <c:scaling>
          <c:orientation val="minMax"/>
        </c:scaling>
        <c:delete val="0"/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-* #,##0_-;\-* #,##0_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s-ES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CO"/>
          </a:p>
        </c:txPr>
        <c:crossAx val="18428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834890562436291"/>
          <c:y val="0.48162715524405747"/>
          <c:w val="0.28695262864501492"/>
          <c:h val="0.16776697634899296"/>
        </c:manualLayout>
      </c:layout>
      <c:overlay val="0"/>
      <c:spPr>
        <a:ln>
          <a:noFill/>
        </a:ln>
      </c:spPr>
      <c:txPr>
        <a:bodyPr/>
        <a:lstStyle/>
        <a:p>
          <a:pPr>
            <a:defRPr lang="es-ES" sz="1000" b="1"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>
      <a:gsLst>
        <a:gs pos="0">
          <a:srgbClr val="8064A2">
            <a:lumMod val="75000"/>
          </a:srgbClr>
        </a:gs>
        <a:gs pos="51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7200000" scaled="0"/>
    </a:gradFill>
    <a:ln cap="rnd" cmpd="sng">
      <a:solidFill>
        <a:srgbClr val="7030A0"/>
      </a:solidFill>
    </a:ln>
    <a:effectLst>
      <a:innerShdw blurRad="584200" dist="660400" dir="18600000">
        <a:srgbClr val="FFFF00">
          <a:alpha val="72000"/>
        </a:srgbClr>
      </a:innerShdw>
    </a:effectLst>
    <a:scene3d>
      <a:camera prst="orthographicFront"/>
      <a:lightRig rig="threePt" dir="t"/>
    </a:scene3d>
    <a:sp3d>
      <a:bevelT w="254000" prst="relaxedInset"/>
      <a:bevelB w="82550" h="222250" prst="angle"/>
    </a:sp3d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A0-47C6-AF62-1F0982B6810C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0.0%</c:formatCode>
                <c:ptCount val="12"/>
                <c:pt idx="0">
                  <c:v>0.75596528137521279</c:v>
                </c:pt>
                <c:pt idx="1">
                  <c:v>0.60844611863755571</c:v>
                </c:pt>
                <c:pt idx="2">
                  <c:v>0.80643817154089092</c:v>
                </c:pt>
                <c:pt idx="3">
                  <c:v>0.68769962376682903</c:v>
                </c:pt>
                <c:pt idx="4">
                  <c:v>0.75830038138671862</c:v>
                </c:pt>
                <c:pt idx="5">
                  <c:v>0.80238519181281531</c:v>
                </c:pt>
                <c:pt idx="6">
                  <c:v>0.77226309595748466</c:v>
                </c:pt>
                <c:pt idx="7">
                  <c:v>0.70215258558065041</c:v>
                </c:pt>
                <c:pt idx="8">
                  <c:v>0.79691786425212374</c:v>
                </c:pt>
                <c:pt idx="9">
                  <c:v>0.74955039471337137</c:v>
                </c:pt>
                <c:pt idx="10">
                  <c:v>0.72967015547623681</c:v>
                </c:pt>
                <c:pt idx="11">
                  <c:v>0.77159708866872601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A0-47C6-AF62-1F0982B6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29504"/>
        <c:axId val="179031040"/>
      </c:lineChart>
      <c:catAx>
        <c:axId val="17902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031040"/>
        <c:crosses val="autoZero"/>
        <c:auto val="1"/>
        <c:lblAlgn val="ctr"/>
        <c:lblOffset val="100"/>
        <c:noMultiLvlLbl val="0"/>
      </c:catAx>
      <c:valAx>
        <c:axId val="1790310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029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02-4AD8-BFD1-68334AA18D4D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#,##0</c:formatCode>
                <c:ptCount val="12"/>
                <c:pt idx="0">
                  <c:v>9.6027504179906344</c:v>
                </c:pt>
                <c:pt idx="1">
                  <c:v>14.883948887388426</c:v>
                </c:pt>
                <c:pt idx="2">
                  <c:v>8.3845606509056818</c:v>
                </c:pt>
                <c:pt idx="3">
                  <c:v>12.531035633956197</c:v>
                </c:pt>
                <c:pt idx="4">
                  <c:v>10.424210618757188</c:v>
                </c:pt>
                <c:pt idx="5">
                  <c:v>8.3622436365874826</c:v>
                </c:pt>
                <c:pt idx="6">
                  <c:v>9.6038062386978229</c:v>
                </c:pt>
                <c:pt idx="7">
                  <c:v>12.245894031103592</c:v>
                </c:pt>
                <c:pt idx="8">
                  <c:v>8.6085157369524463</c:v>
                </c:pt>
                <c:pt idx="9">
                  <c:v>10.822731752289707</c:v>
                </c:pt>
                <c:pt idx="10">
                  <c:v>11.933236480904592</c:v>
                </c:pt>
                <c:pt idx="11">
                  <c:v>8.7720834549643634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02-4AD8-BFD1-68334AA1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78592"/>
        <c:axId val="179280128"/>
      </c:lineChart>
      <c:catAx>
        <c:axId val="17927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79280128"/>
        <c:crosses val="autoZero"/>
        <c:auto val="1"/>
        <c:lblAlgn val="ctr"/>
        <c:lblOffset val="100"/>
        <c:noMultiLvlLbl val="0"/>
      </c:catAx>
      <c:valAx>
        <c:axId val="179280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79278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47-4B2F-9C3D-1B8D577B6BD9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47-4B2F-9C3D-1B8D577B6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80192"/>
        <c:axId val="131081728"/>
      </c:lineChart>
      <c:catAx>
        <c:axId val="13108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081728"/>
        <c:crosses val="autoZero"/>
        <c:auto val="1"/>
        <c:lblAlgn val="ctr"/>
        <c:lblOffset val="100"/>
        <c:noMultiLvlLbl val="0"/>
      </c:catAx>
      <c:valAx>
        <c:axId val="1310817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080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'05'!$A$16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5D-4176-8D9D-1F0FBF80F287}"/>
            </c:ext>
          </c:extLst>
        </c:ser>
        <c:ser>
          <c:idx val="1"/>
          <c:order val="1"/>
          <c:tx>
            <c:strRef>
              <c:f>'05'!$A$17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'05'!$C$17:$N$17</c:f>
              <c:numCache>
                <c:formatCode>0.0%</c:formatCode>
                <c:ptCount val="12"/>
                <c:pt idx="0">
                  <c:v>0.99044776119402989</c:v>
                </c:pt>
                <c:pt idx="1">
                  <c:v>0.99048751486325803</c:v>
                </c:pt>
                <c:pt idx="2">
                  <c:v>0.99052132701421802</c:v>
                </c:pt>
                <c:pt idx="3">
                  <c:v>0.99052132701421802</c:v>
                </c:pt>
                <c:pt idx="4">
                  <c:v>0.99053814311058541</c:v>
                </c:pt>
                <c:pt idx="5">
                  <c:v>0.99056603773584906</c:v>
                </c:pt>
                <c:pt idx="6">
                  <c:v>0.99056047197640118</c:v>
                </c:pt>
                <c:pt idx="7">
                  <c:v>0.99059376837154611</c:v>
                </c:pt>
                <c:pt idx="8">
                  <c:v>0.99062133645955452</c:v>
                </c:pt>
                <c:pt idx="9">
                  <c:v>0.99063231850117095</c:v>
                </c:pt>
                <c:pt idx="10">
                  <c:v>0.99065966141272621</c:v>
                </c:pt>
                <c:pt idx="11">
                  <c:v>0.99065966141272621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5D-4176-8D9D-1F0FBF80F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0464"/>
        <c:axId val="131273088"/>
      </c:lineChart>
      <c:catAx>
        <c:axId val="15547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273088"/>
        <c:crosses val="autoZero"/>
        <c:auto val="1"/>
        <c:lblAlgn val="ctr"/>
        <c:lblOffset val="100"/>
        <c:noMultiLvlLbl val="0"/>
      </c:catAx>
      <c:valAx>
        <c:axId val="131273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554704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'06'!$A$16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'06'!$C$16:$N$16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C2-4023-B47E-B30CCA02A5EF}"/>
            </c:ext>
          </c:extLst>
        </c:ser>
        <c:ser>
          <c:idx val="1"/>
          <c:order val="1"/>
          <c:tx>
            <c:strRef>
              <c:f>'06'!$A$17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'06'!$C$17:$N$17</c:f>
              <c:numCache>
                <c:formatCode>0.0%</c:formatCode>
                <c:ptCount val="12"/>
                <c:pt idx="0">
                  <c:v>0.96597014925373137</c:v>
                </c:pt>
                <c:pt idx="1">
                  <c:v>0.96551724137931039</c:v>
                </c:pt>
                <c:pt idx="2">
                  <c:v>0.96563981042654023</c:v>
                </c:pt>
                <c:pt idx="3">
                  <c:v>0.96563981042654023</c:v>
                </c:pt>
                <c:pt idx="4">
                  <c:v>0.9657007687758723</c:v>
                </c:pt>
                <c:pt idx="5">
                  <c:v>0.96580188679245282</c:v>
                </c:pt>
                <c:pt idx="6">
                  <c:v>0.96578171091445431</c:v>
                </c:pt>
                <c:pt idx="7">
                  <c:v>0.96590241034685476</c:v>
                </c:pt>
                <c:pt idx="8">
                  <c:v>0.96541617819460723</c:v>
                </c:pt>
                <c:pt idx="9">
                  <c:v>0.96545667447306793</c:v>
                </c:pt>
                <c:pt idx="10">
                  <c:v>0.96555750145942787</c:v>
                </c:pt>
                <c:pt idx="11">
                  <c:v>0.96555750145942787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C2-4023-B47E-B30CCA02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61024"/>
        <c:axId val="131362816"/>
      </c:lineChart>
      <c:catAx>
        <c:axId val="13136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362816"/>
        <c:crosses val="autoZero"/>
        <c:auto val="1"/>
        <c:lblAlgn val="ctr"/>
        <c:lblOffset val="100"/>
        <c:noMultiLvlLbl val="0"/>
      </c:catAx>
      <c:valAx>
        <c:axId val="131362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361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7002626373357E-2"/>
          <c:y val="4.8535605180499965E-2"/>
          <c:w val="0.73457881090203481"/>
          <c:h val="0.7764223570414357"/>
        </c:manualLayout>
      </c:layout>
      <c:lineChart>
        <c:grouping val="standard"/>
        <c:varyColors val="0"/>
        <c:ser>
          <c:idx val="0"/>
          <c:order val="0"/>
          <c:tx>
            <c:strRef>
              <c:f>'07'!$A$16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D2-41BE-BAAE-F9C9481478A3}"/>
            </c:ext>
          </c:extLst>
        </c:ser>
        <c:ser>
          <c:idx val="1"/>
          <c:order val="1"/>
          <c:tx>
            <c:strRef>
              <c:f>'07'!$A$17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'07'!$C$17:$N$17</c:f>
              <c:numCache>
                <c:formatCode>0.0%</c:formatCode>
                <c:ptCount val="12"/>
                <c:pt idx="0">
                  <c:v>0.96474209495382901</c:v>
                </c:pt>
                <c:pt idx="1">
                  <c:v>0.96377875673029867</c:v>
                </c:pt>
                <c:pt idx="2">
                  <c:v>0.96381989338777363</c:v>
                </c:pt>
                <c:pt idx="3">
                  <c:v>0.96386775892334697</c:v>
                </c:pt>
                <c:pt idx="4">
                  <c:v>0.96391550948562477</c:v>
                </c:pt>
                <c:pt idx="5">
                  <c:v>0.96402594849616674</c:v>
                </c:pt>
                <c:pt idx="6">
                  <c:v>0.96404306470157841</c:v>
                </c:pt>
                <c:pt idx="7">
                  <c:v>0.96417030982702912</c:v>
                </c:pt>
                <c:pt idx="8">
                  <c:v>0.96429339642933953</c:v>
                </c:pt>
                <c:pt idx="9">
                  <c:v>0.96430719871666348</c:v>
                </c:pt>
                <c:pt idx="10">
                  <c:v>0.96440129449838197</c:v>
                </c:pt>
                <c:pt idx="11">
                  <c:v>0.96434074400176095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D2-41BE-BAAE-F9C94814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10432"/>
        <c:axId val="131811968"/>
      </c:lineChart>
      <c:catAx>
        <c:axId val="13181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811968"/>
        <c:crosses val="autoZero"/>
        <c:auto val="1"/>
        <c:lblAlgn val="ctr"/>
        <c:lblOffset val="100"/>
        <c:noMultiLvlLbl val="0"/>
      </c:catAx>
      <c:valAx>
        <c:axId val="1318119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810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'08'!$A$16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'08'!$C$16:$N$16</c:f>
              <c:numCache>
                <c:formatCode>0.0%</c:formatCode>
                <c:ptCount val="12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EE-4B59-ACBA-D63FE84F8ACE}"/>
            </c:ext>
          </c:extLst>
        </c:ser>
        <c:ser>
          <c:idx val="1"/>
          <c:order val="1"/>
          <c:tx>
            <c:strRef>
              <c:f>'08'!$A$17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'08'!$C$17:$N$17</c:f>
              <c:numCache>
                <c:formatCode>0.0%</c:formatCode>
                <c:ptCount val="12"/>
                <c:pt idx="0">
                  <c:v>0.9529837251356239</c:v>
                </c:pt>
                <c:pt idx="1">
                  <c:v>0.94117647058823528</c:v>
                </c:pt>
                <c:pt idx="2">
                  <c:v>0.95394736842105265</c:v>
                </c:pt>
                <c:pt idx="3">
                  <c:v>0.96052631578947367</c:v>
                </c:pt>
                <c:pt idx="4">
                  <c:v>0.96</c:v>
                </c:pt>
                <c:pt idx="5">
                  <c:v>0.95892857142857146</c:v>
                </c:pt>
                <c:pt idx="6">
                  <c:v>0.96188207266229897</c:v>
                </c:pt>
                <c:pt idx="7">
                  <c:v>0.95014836795252222</c:v>
                </c:pt>
                <c:pt idx="8">
                  <c:v>0.93254437869822482</c:v>
                </c:pt>
                <c:pt idx="9">
                  <c:v>0.96276595744680848</c:v>
                </c:pt>
                <c:pt idx="10">
                  <c:v>0.94932233352975837</c:v>
                </c:pt>
                <c:pt idx="11">
                  <c:v>0.95580436063641716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EE-4B59-ACBA-D63FE84F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21952"/>
        <c:axId val="131823488"/>
      </c:lineChart>
      <c:catAx>
        <c:axId val="1318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823488"/>
        <c:crosses val="autoZero"/>
        <c:auto val="1"/>
        <c:lblAlgn val="ctr"/>
        <c:lblOffset val="100"/>
        <c:noMultiLvlLbl val="0"/>
      </c:catAx>
      <c:valAx>
        <c:axId val="1318234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8219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'09'!$A$16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'09'!$C$16:$N$16</c:f>
              <c:numCache>
                <c:formatCode>0.0%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6-4EFB-8151-F255F0C57794}"/>
            </c:ext>
          </c:extLst>
        </c:ser>
        <c:ser>
          <c:idx val="1"/>
          <c:order val="1"/>
          <c:tx>
            <c:strRef>
              <c:f>'09'!$A$17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76-4EFB-8151-F255F0C5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69664"/>
        <c:axId val="131171456"/>
      </c:lineChart>
      <c:catAx>
        <c:axId val="13116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s-ES"/>
            </a:pPr>
            <a:endParaRPr lang="es-CO"/>
          </a:p>
        </c:txPr>
        <c:crossAx val="131171456"/>
        <c:crosses val="autoZero"/>
        <c:auto val="1"/>
        <c:lblAlgn val="ctr"/>
        <c:lblOffset val="100"/>
        <c:noMultiLvlLbl val="0"/>
      </c:catAx>
      <c:valAx>
        <c:axId val="1311714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31169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57150</xdr:rowOff>
    </xdr:from>
    <xdr:to>
      <xdr:col>2</xdr:col>
      <xdr:colOff>495300</xdr:colOff>
      <xdr:row>1</xdr:row>
      <xdr:rowOff>114300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150"/>
          <a:ext cx="9429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xmlns="" id="{00000000-0008-0000-0900-00000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3314" name="Picture 2">
          <a:extLst>
            <a:ext uri="{FF2B5EF4-FFF2-40B4-BE49-F238E27FC236}">
              <a16:creationId xmlns:a16="http://schemas.microsoft.com/office/drawing/2014/main" xmlns="" id="{00000000-0008-0000-0A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4338" name="Picture 2">
          <a:extLst>
            <a:ext uri="{FF2B5EF4-FFF2-40B4-BE49-F238E27FC236}">
              <a16:creationId xmlns:a16="http://schemas.microsoft.com/office/drawing/2014/main" xmlns="" id="{00000000-0008-0000-0B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xmlns="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9458" name="Picture 2">
          <a:extLst>
            <a:ext uri="{FF2B5EF4-FFF2-40B4-BE49-F238E27FC236}">
              <a16:creationId xmlns:a16="http://schemas.microsoft.com/office/drawing/2014/main" xmlns="" id="{00000000-0008-0000-0D00-00000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xmlns="" id="{00000000-0008-0000-0E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71</xdr:row>
      <xdr:rowOff>114300</xdr:rowOff>
    </xdr:from>
    <xdr:to>
      <xdr:col>5</xdr:col>
      <xdr:colOff>276225</xdr:colOff>
      <xdr:row>95</xdr:row>
      <xdr:rowOff>38100</xdr:rowOff>
    </xdr:to>
    <xdr:graphicFrame macro="">
      <xdr:nvGraphicFramePr>
        <xdr:cNvPr id="2" name="Chart 28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46381</xdr:colOff>
      <xdr:row>98</xdr:row>
      <xdr:rowOff>86138</xdr:rowOff>
    </xdr:from>
    <xdr:to>
      <xdr:col>4</xdr:col>
      <xdr:colOff>662609</xdr:colOff>
      <xdr:row>119</xdr:row>
      <xdr:rowOff>124239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693253</xdr:colOff>
      <xdr:row>75</xdr:row>
      <xdr:rowOff>122581</xdr:rowOff>
    </xdr:from>
    <xdr:to>
      <xdr:col>13</xdr:col>
      <xdr:colOff>304800</xdr:colOff>
      <xdr:row>94</xdr:row>
      <xdr:rowOff>19049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223630</xdr:colOff>
      <xdr:row>121</xdr:row>
      <xdr:rowOff>41412</xdr:rowOff>
    </xdr:from>
    <xdr:to>
      <xdr:col>4</xdr:col>
      <xdr:colOff>637761</xdr:colOff>
      <xdr:row>143</xdr:row>
      <xdr:rowOff>157369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xmlns="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xmlns="" id="{00000000-0008-0000-03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25</xdr:row>
      <xdr:rowOff>171450</xdr:rowOff>
    </xdr:from>
    <xdr:to>
      <xdr:col>13</xdr:col>
      <xdr:colOff>276225</xdr:colOff>
      <xdr:row>25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xmlns="" id="{00000000-0008-0000-04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xmlns="" id="{00000000-0008-0000-05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xmlns="" id="{00000000-0008-0000-06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xmlns="" id="{00000000-0008-0000-07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438150</xdr:colOff>
      <xdr:row>0</xdr:row>
      <xdr:rowOff>38100</xdr:rowOff>
    </xdr:from>
    <xdr:to>
      <xdr:col>1</xdr:col>
      <xdr:colOff>1314450</xdr:colOff>
      <xdr:row>1</xdr:row>
      <xdr:rowOff>123825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xmlns="" id="{00000000-0008-0000-08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8100"/>
          <a:ext cx="876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workbookViewId="0">
      <pane ySplit="5" topLeftCell="A6" activePane="bottomLeft" state="frozen"/>
      <selection activeCell="F1" sqref="F1"/>
      <selection pane="bottomLeft" activeCell="L5" sqref="L5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5" max="25" width="7.7109375" customWidth="1"/>
    <col min="26" max="26" width="8.28515625" hidden="1" customWidth="1"/>
    <col min="27" max="27" width="0" hidden="1" customWidth="1"/>
    <col min="29" max="30" width="11.42578125" customWidth="1"/>
  </cols>
  <sheetData>
    <row r="1" spans="1:25" s="2" customFormat="1" ht="20.25" customHeight="1" thickTop="1" x14ac:dyDescent="0.25">
      <c r="A1" s="143"/>
      <c r="B1" s="144"/>
      <c r="C1" s="145"/>
      <c r="D1" s="137" t="s">
        <v>50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9"/>
    </row>
    <row r="2" spans="1:25" s="2" customFormat="1" ht="12.75" customHeight="1" thickBot="1" x14ac:dyDescent="0.3">
      <c r="A2" s="146"/>
      <c r="B2" s="147"/>
      <c r="C2" s="148"/>
      <c r="D2" s="140" t="s">
        <v>67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2"/>
    </row>
    <row r="3" spans="1:25" s="2" customFormat="1" ht="18" customHeight="1" thickTop="1" thickBot="1" x14ac:dyDescent="0.3">
      <c r="A3" s="154" t="s">
        <v>51</v>
      </c>
      <c r="B3" s="155"/>
      <c r="C3" s="155"/>
      <c r="D3" s="155"/>
      <c r="E3" s="155"/>
      <c r="F3" s="155"/>
      <c r="G3" s="155"/>
      <c r="H3" s="155"/>
      <c r="I3" s="155"/>
      <c r="J3" s="156" t="s">
        <v>170</v>
      </c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7"/>
    </row>
    <row r="4" spans="1:25" s="2" customFormat="1" ht="30.75" customHeight="1" thickTop="1" thickBot="1" x14ac:dyDescent="0.3">
      <c r="A4" s="149" t="s">
        <v>1</v>
      </c>
      <c r="B4" s="149"/>
      <c r="C4" s="149" t="s">
        <v>2</v>
      </c>
      <c r="D4" s="149" t="s">
        <v>5</v>
      </c>
      <c r="E4" s="152" t="s">
        <v>40</v>
      </c>
      <c r="F4" s="152" t="s">
        <v>66</v>
      </c>
      <c r="G4" s="149" t="s">
        <v>6</v>
      </c>
      <c r="H4" s="149"/>
      <c r="I4" s="149"/>
      <c r="J4" s="150" t="s">
        <v>39</v>
      </c>
      <c r="K4" s="150" t="s">
        <v>267</v>
      </c>
      <c r="L4" s="151" t="s">
        <v>268</v>
      </c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1:25" s="1" customFormat="1" ht="31.5" customHeight="1" thickTop="1" thickBot="1" x14ac:dyDescent="0.25">
      <c r="A5" s="149"/>
      <c r="B5" s="149"/>
      <c r="C5" s="149"/>
      <c r="D5" s="149"/>
      <c r="E5" s="153"/>
      <c r="F5" s="153"/>
      <c r="G5" s="32" t="s">
        <v>7</v>
      </c>
      <c r="H5" s="33" t="s">
        <v>61</v>
      </c>
      <c r="I5" s="34" t="s">
        <v>62</v>
      </c>
      <c r="J5" s="150"/>
      <c r="K5" s="150"/>
      <c r="L5" s="31" t="s">
        <v>54</v>
      </c>
      <c r="M5" s="31" t="s">
        <v>8</v>
      </c>
      <c r="N5" s="31" t="s">
        <v>9</v>
      </c>
      <c r="O5" s="31" t="s">
        <v>10</v>
      </c>
      <c r="P5" s="31" t="s">
        <v>11</v>
      </c>
      <c r="Q5" s="31" t="s">
        <v>12</v>
      </c>
      <c r="R5" s="31" t="s">
        <v>13</v>
      </c>
      <c r="S5" s="31" t="s">
        <v>14</v>
      </c>
      <c r="T5" s="31" t="s">
        <v>15</v>
      </c>
      <c r="U5" s="31" t="s">
        <v>16</v>
      </c>
      <c r="V5" s="31" t="s">
        <v>17</v>
      </c>
      <c r="W5" s="31" t="s">
        <v>18</v>
      </c>
      <c r="X5" s="31" t="s">
        <v>19</v>
      </c>
    </row>
    <row r="6" spans="1:25" s="1" customFormat="1" ht="57.75" customHeight="1" thickTop="1" thickBot="1" x14ac:dyDescent="0.25">
      <c r="A6" s="45" t="s">
        <v>41</v>
      </c>
      <c r="B6" s="46" t="s">
        <v>99</v>
      </c>
      <c r="C6" s="42" t="s">
        <v>147</v>
      </c>
      <c r="D6" s="43" t="s">
        <v>106</v>
      </c>
      <c r="E6" s="29" t="s">
        <v>53</v>
      </c>
      <c r="F6" s="50" t="s">
        <v>80</v>
      </c>
      <c r="G6" s="51" t="s">
        <v>109</v>
      </c>
      <c r="H6" s="51" t="s">
        <v>108</v>
      </c>
      <c r="I6" s="51" t="s">
        <v>107</v>
      </c>
      <c r="J6" s="67">
        <v>0.78</v>
      </c>
      <c r="K6" s="67">
        <v>0.85</v>
      </c>
      <c r="L6" s="30">
        <f>'01'!$O$17</f>
        <v>0.83337370021845558</v>
      </c>
      <c r="M6" s="30">
        <f>'01'!$C$17</f>
        <v>0.8593135048613697</v>
      </c>
      <c r="N6" s="30">
        <f>'01'!$D$17</f>
        <v>0.72426277783584569</v>
      </c>
      <c r="O6" s="30">
        <f>'01'!$E$17</f>
        <v>0.91837771619671693</v>
      </c>
      <c r="P6" s="30">
        <f>'01'!$F$17</f>
        <v>0.80946695429348703</v>
      </c>
      <c r="Q6" s="30">
        <f>'01'!$G$17</f>
        <v>0.81786370637772954</v>
      </c>
      <c r="R6" s="30">
        <f>'01'!$H$17</f>
        <v>0.89293967613931169</v>
      </c>
      <c r="S6" s="30">
        <f>'01'!$I$17</f>
        <v>0.86358011028685533</v>
      </c>
      <c r="T6" s="30">
        <f>'01'!$J$17</f>
        <v>0.78828262073482658</v>
      </c>
      <c r="U6" s="30">
        <f>'01'!$K$17</f>
        <v>0.87694314512935567</v>
      </c>
      <c r="V6" s="30">
        <f>'01'!$L$17</f>
        <v>0.81540666028537689</v>
      </c>
      <c r="W6" s="30">
        <f>'01'!$M$17</f>
        <v>0.77479124642233366</v>
      </c>
      <c r="X6" s="30">
        <f>'01'!$N$17</f>
        <v>0.84790741061991637</v>
      </c>
    </row>
    <row r="7" spans="1:25" s="1" customFormat="1" ht="49.5" customHeight="1" thickTop="1" thickBot="1" x14ac:dyDescent="0.25">
      <c r="A7" s="45" t="s">
        <v>42</v>
      </c>
      <c r="B7" s="46" t="s">
        <v>100</v>
      </c>
      <c r="C7" s="42" t="s">
        <v>148</v>
      </c>
      <c r="D7" s="43" t="s">
        <v>252</v>
      </c>
      <c r="E7" s="29" t="s">
        <v>53</v>
      </c>
      <c r="F7" s="50" t="s">
        <v>80</v>
      </c>
      <c r="G7" s="51" t="s">
        <v>111</v>
      </c>
      <c r="H7" s="51" t="s">
        <v>110</v>
      </c>
      <c r="I7" s="51" t="s">
        <v>107</v>
      </c>
      <c r="J7" s="67">
        <v>0.64</v>
      </c>
      <c r="K7" s="67">
        <v>0.75</v>
      </c>
      <c r="L7" s="30">
        <f>'02'!$O$17</f>
        <v>0.74677125539876732</v>
      </c>
      <c r="M7" s="30">
        <f>'02'!$C$17</f>
        <v>0.75596528137521279</v>
      </c>
      <c r="N7" s="30">
        <f>'02'!$D$17</f>
        <v>0.60844611863755571</v>
      </c>
      <c r="O7" s="30">
        <f>'02'!$E$17</f>
        <v>0.80643817154089092</v>
      </c>
      <c r="P7" s="30">
        <f>'02'!$F$17</f>
        <v>0.68769962376682903</v>
      </c>
      <c r="Q7" s="30">
        <f>'02'!$G$17</f>
        <v>0.75830038138671862</v>
      </c>
      <c r="R7" s="30">
        <f>'02'!$H$17</f>
        <v>0.80238519181281531</v>
      </c>
      <c r="S7" s="30">
        <f>'02'!$I$17</f>
        <v>0.77226309595748466</v>
      </c>
      <c r="T7" s="30">
        <f>'02'!$J$17</f>
        <v>0.70215258558065041</v>
      </c>
      <c r="U7" s="30">
        <f>'02'!$K$17</f>
        <v>0.79691786425212374</v>
      </c>
      <c r="V7" s="30">
        <f>'02'!$L$17</f>
        <v>0.74955039471337137</v>
      </c>
      <c r="W7" s="30">
        <f>'02'!$M$17</f>
        <v>0.72967015547623681</v>
      </c>
      <c r="X7" s="30">
        <f>'02'!$N$17</f>
        <v>0.77159708866872601</v>
      </c>
    </row>
    <row r="8" spans="1:25" s="1" customFormat="1" ht="60" customHeight="1" thickTop="1" thickBot="1" x14ac:dyDescent="0.25">
      <c r="A8" s="45" t="s">
        <v>43</v>
      </c>
      <c r="B8" s="46" t="s">
        <v>179</v>
      </c>
      <c r="C8" s="42" t="s">
        <v>149</v>
      </c>
      <c r="D8" s="43" t="s">
        <v>113</v>
      </c>
      <c r="E8" s="29" t="s">
        <v>53</v>
      </c>
      <c r="F8" s="50" t="s">
        <v>80</v>
      </c>
      <c r="G8" s="51" t="s">
        <v>129</v>
      </c>
      <c r="H8" s="51" t="s">
        <v>128</v>
      </c>
      <c r="I8" s="51" t="s">
        <v>127</v>
      </c>
      <c r="J8" s="68">
        <v>16</v>
      </c>
      <c r="K8" s="68">
        <v>15</v>
      </c>
      <c r="L8" s="53">
        <f>'03'!$O$17</f>
        <v>10.337730458957202</v>
      </c>
      <c r="M8" s="53">
        <f>'03'!$C$17</f>
        <v>9.6027504179906344</v>
      </c>
      <c r="N8" s="53">
        <f>'03'!$D$17</f>
        <v>14.883948887388426</v>
      </c>
      <c r="O8" s="53">
        <f>'03'!$E$17</f>
        <v>8.3845606509056818</v>
      </c>
      <c r="P8" s="53">
        <f>'03'!$F$17</f>
        <v>12.531035633956197</v>
      </c>
      <c r="Q8" s="53">
        <f>'03'!$G$17</f>
        <v>10.424210618757188</v>
      </c>
      <c r="R8" s="53">
        <f>'03'!$H$17</f>
        <v>8.3622436365874826</v>
      </c>
      <c r="S8" s="53">
        <f>'03'!$I$17</f>
        <v>9.6038062386978229</v>
      </c>
      <c r="T8" s="53">
        <f>'03'!$J$17</f>
        <v>12.245894031103592</v>
      </c>
      <c r="U8" s="53">
        <f>'03'!$K$17</f>
        <v>8.6085157369524463</v>
      </c>
      <c r="V8" s="53">
        <f>'03'!$L$17</f>
        <v>10.822731752289707</v>
      </c>
      <c r="W8" s="53">
        <f>'03'!$M$17</f>
        <v>11.933236480904592</v>
      </c>
      <c r="X8" s="53">
        <f>'03'!$N$17</f>
        <v>8.7720834549643634</v>
      </c>
    </row>
    <row r="9" spans="1:25" s="1" customFormat="1" ht="52.5" customHeight="1" thickTop="1" thickBot="1" x14ac:dyDescent="0.25">
      <c r="A9" s="45" t="s">
        <v>44</v>
      </c>
      <c r="B9" s="46" t="s">
        <v>180</v>
      </c>
      <c r="C9" s="42" t="s">
        <v>150</v>
      </c>
      <c r="D9" s="43" t="s">
        <v>114</v>
      </c>
      <c r="E9" s="29" t="s">
        <v>53</v>
      </c>
      <c r="F9" s="50" t="s">
        <v>80</v>
      </c>
      <c r="G9" s="51" t="s">
        <v>109</v>
      </c>
      <c r="H9" s="51" t="s">
        <v>108</v>
      </c>
      <c r="I9" s="51" t="s">
        <v>107</v>
      </c>
      <c r="J9" s="67">
        <v>0.92</v>
      </c>
      <c r="K9" s="67">
        <v>1</v>
      </c>
      <c r="L9" s="30">
        <f>'04'!$O$17</f>
        <v>0</v>
      </c>
      <c r="M9" s="30">
        <f>'04'!$C$17</f>
        <v>0</v>
      </c>
      <c r="N9" s="30">
        <f>'04'!$D$17</f>
        <v>0</v>
      </c>
      <c r="O9" s="30">
        <f>'04'!$E$17</f>
        <v>0</v>
      </c>
      <c r="P9" s="30">
        <f>'04'!$F$17</f>
        <v>0</v>
      </c>
      <c r="Q9" s="30">
        <f>'04'!$G$17</f>
        <v>0</v>
      </c>
      <c r="R9" s="30">
        <f>'04'!$H$17</f>
        <v>0</v>
      </c>
      <c r="S9" s="30">
        <f>'04'!$I$17</f>
        <v>0</v>
      </c>
      <c r="T9" s="30">
        <f>'04'!$J$17</f>
        <v>0</v>
      </c>
      <c r="U9" s="30">
        <f>'04'!$K$17</f>
        <v>0</v>
      </c>
      <c r="V9" s="30">
        <f>'04'!$L$17</f>
        <v>0</v>
      </c>
      <c r="W9" s="30">
        <f>'04'!$M$17</f>
        <v>0</v>
      </c>
      <c r="X9" s="30">
        <f>'04'!$N$17</f>
        <v>0</v>
      </c>
    </row>
    <row r="10" spans="1:25" s="1" customFormat="1" ht="60" customHeight="1" thickTop="1" thickBot="1" x14ac:dyDescent="0.25">
      <c r="A10" s="45" t="s">
        <v>45</v>
      </c>
      <c r="B10" s="46" t="s">
        <v>175</v>
      </c>
      <c r="C10" s="42" t="s">
        <v>152</v>
      </c>
      <c r="D10" s="43" t="s">
        <v>255</v>
      </c>
      <c r="E10" s="29" t="s">
        <v>53</v>
      </c>
      <c r="F10" s="50" t="s">
        <v>80</v>
      </c>
      <c r="G10" s="51" t="s">
        <v>109</v>
      </c>
      <c r="H10" s="51" t="s">
        <v>108</v>
      </c>
      <c r="I10" s="51" t="s">
        <v>107</v>
      </c>
      <c r="J10" s="67">
        <v>0.99</v>
      </c>
      <c r="K10" s="67">
        <v>1</v>
      </c>
      <c r="L10" s="30">
        <f>'05'!$O$17</f>
        <v>0.99056789153075264</v>
      </c>
      <c r="M10" s="30">
        <f>'05'!$C$17</f>
        <v>0.99044776119402989</v>
      </c>
      <c r="N10" s="30">
        <f>'05'!$D$17</f>
        <v>0.99048751486325803</v>
      </c>
      <c r="O10" s="30">
        <f>'05'!$E$17</f>
        <v>0.99052132701421802</v>
      </c>
      <c r="P10" s="30">
        <f>'05'!$F$17</f>
        <v>0.99052132701421802</v>
      </c>
      <c r="Q10" s="30">
        <f>'05'!$G$17</f>
        <v>0.99053814311058541</v>
      </c>
      <c r="R10" s="30">
        <f>'05'!$H$17</f>
        <v>0.99056603773584906</v>
      </c>
      <c r="S10" s="30">
        <f>'05'!$I$17</f>
        <v>0.99056047197640118</v>
      </c>
      <c r="T10" s="30">
        <f>'05'!$J$17</f>
        <v>0.99059376837154611</v>
      </c>
      <c r="U10" s="30">
        <f>'05'!$K$17</f>
        <v>0.99062133645955452</v>
      </c>
      <c r="V10" s="30">
        <f>'05'!$L$17</f>
        <v>0.99063231850117095</v>
      </c>
      <c r="W10" s="30">
        <f>'05'!$M$17</f>
        <v>0.99065966141272621</v>
      </c>
      <c r="X10" s="30">
        <f>'05'!$N$17</f>
        <v>0.99065966141272621</v>
      </c>
    </row>
    <row r="11" spans="1:25" s="1" customFormat="1" ht="52.5" customHeight="1" thickTop="1" thickBot="1" x14ac:dyDescent="0.25">
      <c r="A11" s="45" t="s">
        <v>46</v>
      </c>
      <c r="B11" s="47" t="s">
        <v>176</v>
      </c>
      <c r="C11" s="42" t="s">
        <v>151</v>
      </c>
      <c r="D11" s="43" t="s">
        <v>256</v>
      </c>
      <c r="E11" s="29" t="s">
        <v>53</v>
      </c>
      <c r="F11" s="50" t="s">
        <v>80</v>
      </c>
      <c r="G11" s="51" t="s">
        <v>109</v>
      </c>
      <c r="H11" s="51" t="s">
        <v>108</v>
      </c>
      <c r="I11" s="51" t="s">
        <v>107</v>
      </c>
      <c r="J11" s="67">
        <v>0.94</v>
      </c>
      <c r="K11" s="67">
        <v>1</v>
      </c>
      <c r="L11" s="30">
        <f>'06'!$O$17</f>
        <v>0.96566123010414617</v>
      </c>
      <c r="M11" s="30">
        <f>'06'!$C$17</f>
        <v>0.96597014925373137</v>
      </c>
      <c r="N11" s="30">
        <f>'06'!$D$17</f>
        <v>0.96551724137931039</v>
      </c>
      <c r="O11" s="30">
        <f>'06'!$E$17</f>
        <v>0.96563981042654023</v>
      </c>
      <c r="P11" s="30">
        <f>'06'!$F$17</f>
        <v>0.96563981042654023</v>
      </c>
      <c r="Q11" s="30">
        <f>'06'!$G$17</f>
        <v>0.9657007687758723</v>
      </c>
      <c r="R11" s="30">
        <f>'06'!$H$17</f>
        <v>0.96580188679245282</v>
      </c>
      <c r="S11" s="30">
        <f>'06'!$I$17</f>
        <v>0.96578171091445431</v>
      </c>
      <c r="T11" s="30">
        <f>'06'!$J$17</f>
        <v>0.96590241034685476</v>
      </c>
      <c r="U11" s="30">
        <f>'06'!$K$17</f>
        <v>0.96541617819460723</v>
      </c>
      <c r="V11" s="30">
        <f>'06'!$L$17</f>
        <v>0.96545667447306793</v>
      </c>
      <c r="W11" s="30">
        <f>'06'!$M$17</f>
        <v>0.96555750145942787</v>
      </c>
      <c r="X11" s="30">
        <f>'06'!$N$17</f>
        <v>0.96555750145942787</v>
      </c>
    </row>
    <row r="12" spans="1:25" s="1" customFormat="1" ht="48.75" customHeight="1" thickTop="1" thickBot="1" x14ac:dyDescent="0.25">
      <c r="A12" s="45" t="s">
        <v>47</v>
      </c>
      <c r="B12" s="46" t="s">
        <v>177</v>
      </c>
      <c r="C12" s="42" t="s">
        <v>153</v>
      </c>
      <c r="D12" s="43" t="s">
        <v>115</v>
      </c>
      <c r="E12" s="29" t="s">
        <v>53</v>
      </c>
      <c r="F12" s="50" t="s">
        <v>80</v>
      </c>
      <c r="G12" s="51" t="s">
        <v>109</v>
      </c>
      <c r="H12" s="51" t="s">
        <v>108</v>
      </c>
      <c r="I12" s="51" t="s">
        <v>107</v>
      </c>
      <c r="J12" s="67">
        <v>0.95</v>
      </c>
      <c r="K12" s="67">
        <v>1</v>
      </c>
      <c r="L12" s="30">
        <f>'07'!$O$17</f>
        <v>0.96416057751562656</v>
      </c>
      <c r="M12" s="30">
        <f>'07'!$C$17</f>
        <v>0.96474209495382901</v>
      </c>
      <c r="N12" s="30">
        <f>'07'!$D$17</f>
        <v>0.96377875673029867</v>
      </c>
      <c r="O12" s="30">
        <f>'07'!$E$17</f>
        <v>0.96381989338777363</v>
      </c>
      <c r="P12" s="30">
        <f>'07'!$F$17</f>
        <v>0.96386775892334697</v>
      </c>
      <c r="Q12" s="30">
        <f>'07'!$G$17</f>
        <v>0.96391550948562477</v>
      </c>
      <c r="R12" s="30">
        <f>'07'!$H$17</f>
        <v>0.96402594849616674</v>
      </c>
      <c r="S12" s="30">
        <f>'07'!$I$17</f>
        <v>0.96404306470157841</v>
      </c>
      <c r="T12" s="30">
        <f>'07'!$J$17</f>
        <v>0.96417030982702912</v>
      </c>
      <c r="U12" s="30">
        <f>'07'!$K$17</f>
        <v>0.96429339642933953</v>
      </c>
      <c r="V12" s="30">
        <f>'07'!$L$17</f>
        <v>0.96430719871666348</v>
      </c>
      <c r="W12" s="30">
        <f>'07'!$M$17</f>
        <v>0.96440129449838197</v>
      </c>
      <c r="X12" s="30">
        <f>'07'!$N$17</f>
        <v>0.96434074400176095</v>
      </c>
    </row>
    <row r="13" spans="1:25" s="1" customFormat="1" ht="47.25" customHeight="1" thickTop="1" thickBot="1" x14ac:dyDescent="0.25">
      <c r="A13" s="45" t="s">
        <v>48</v>
      </c>
      <c r="B13" s="46" t="s">
        <v>101</v>
      </c>
      <c r="C13" s="42" t="s">
        <v>155</v>
      </c>
      <c r="D13" s="43" t="s">
        <v>257</v>
      </c>
      <c r="E13" s="29" t="s">
        <v>53</v>
      </c>
      <c r="F13" s="50" t="s">
        <v>80</v>
      </c>
      <c r="G13" s="51" t="s">
        <v>109</v>
      </c>
      <c r="H13" s="51" t="s">
        <v>108</v>
      </c>
      <c r="I13" s="51" t="s">
        <v>107</v>
      </c>
      <c r="J13" s="67">
        <v>0.96</v>
      </c>
      <c r="K13" s="67">
        <v>0.98</v>
      </c>
      <c r="L13" s="30">
        <f>'08'!$O$17</f>
        <v>0.95333267208887129</v>
      </c>
      <c r="M13" s="30">
        <f>'08'!$C$17</f>
        <v>0.9529837251356239</v>
      </c>
      <c r="N13" s="30">
        <f>'08'!$D$17</f>
        <v>0.94117647058823528</v>
      </c>
      <c r="O13" s="30">
        <f>'08'!$E$17</f>
        <v>0.95394736842105265</v>
      </c>
      <c r="P13" s="30">
        <f>'08'!$F$17</f>
        <v>0.96052631578947367</v>
      </c>
      <c r="Q13" s="30">
        <f>'08'!$G$17</f>
        <v>0.96</v>
      </c>
      <c r="R13" s="30">
        <f>'08'!$H$17</f>
        <v>0.95892857142857146</v>
      </c>
      <c r="S13" s="30">
        <f>'08'!$I$17</f>
        <v>0.96188207266229897</v>
      </c>
      <c r="T13" s="30">
        <f>'08'!$J$17</f>
        <v>0.95014836795252222</v>
      </c>
      <c r="U13" s="30">
        <f>'08'!$K$17</f>
        <v>0.93254437869822482</v>
      </c>
      <c r="V13" s="30">
        <f>'08'!$L$17</f>
        <v>0.96276595744680848</v>
      </c>
      <c r="W13" s="30">
        <f>'08'!$M$17</f>
        <v>0.94932233352975837</v>
      </c>
      <c r="X13" s="30">
        <f>'08'!$N$17</f>
        <v>0.95580436063641716</v>
      </c>
    </row>
    <row r="14" spans="1:25" s="2" customFormat="1" ht="49.5" customHeight="1" thickTop="1" thickBot="1" x14ac:dyDescent="0.3">
      <c r="A14" s="45" t="s">
        <v>49</v>
      </c>
      <c r="B14" s="46" t="s">
        <v>102</v>
      </c>
      <c r="C14" s="42" t="s">
        <v>159</v>
      </c>
      <c r="D14" s="43" t="s">
        <v>116</v>
      </c>
      <c r="E14" s="29" t="s">
        <v>53</v>
      </c>
      <c r="F14" s="50" t="s">
        <v>80</v>
      </c>
      <c r="G14" s="51" t="s">
        <v>119</v>
      </c>
      <c r="H14" s="51" t="s">
        <v>118</v>
      </c>
      <c r="I14" s="51" t="s">
        <v>117</v>
      </c>
      <c r="J14" s="67">
        <v>0.05</v>
      </c>
      <c r="K14" s="67">
        <v>0.05</v>
      </c>
      <c r="L14" s="30" t="str">
        <f>'09'!$O$17</f>
        <v>-</v>
      </c>
      <c r="M14" s="30" t="str">
        <f>'09'!$C$17</f>
        <v>-</v>
      </c>
      <c r="N14" s="30" t="str">
        <f>'09'!$D$17</f>
        <v>-</v>
      </c>
      <c r="O14" s="30" t="str">
        <f>'09'!$E$17</f>
        <v>-</v>
      </c>
      <c r="P14" s="30" t="str">
        <f>'09'!$F$17</f>
        <v>-</v>
      </c>
      <c r="Q14" s="30" t="str">
        <f>'09'!$G$17</f>
        <v>-</v>
      </c>
      <c r="R14" s="30" t="str">
        <f>'09'!$H$17</f>
        <v>-</v>
      </c>
      <c r="S14" s="30" t="str">
        <f>'09'!$I$17</f>
        <v>-</v>
      </c>
      <c r="T14" s="30" t="str">
        <f>'09'!$J$17</f>
        <v>-</v>
      </c>
      <c r="U14" s="30" t="str">
        <f>'09'!$K$17</f>
        <v>-</v>
      </c>
      <c r="V14" s="30" t="str">
        <f>'09'!$L$17</f>
        <v>-</v>
      </c>
      <c r="W14" s="30" t="str">
        <f>'09'!$M$17</f>
        <v>-</v>
      </c>
      <c r="X14" s="30" t="str">
        <f>'09'!$N$17</f>
        <v>-</v>
      </c>
    </row>
    <row r="15" spans="1:25" s="2" customFormat="1" ht="48.75" customHeight="1" thickTop="1" thickBot="1" x14ac:dyDescent="0.3">
      <c r="A15" s="45" t="s">
        <v>95</v>
      </c>
      <c r="B15" s="46" t="s">
        <v>103</v>
      </c>
      <c r="C15" s="42" t="s">
        <v>154</v>
      </c>
      <c r="D15" s="43" t="s">
        <v>120</v>
      </c>
      <c r="E15" s="29" t="s">
        <v>53</v>
      </c>
      <c r="F15" s="50" t="s">
        <v>80</v>
      </c>
      <c r="G15" s="51" t="s">
        <v>123</v>
      </c>
      <c r="H15" s="51" t="s">
        <v>122</v>
      </c>
      <c r="I15" s="51" t="s">
        <v>121</v>
      </c>
      <c r="J15" s="67">
        <v>0.3</v>
      </c>
      <c r="K15" s="67">
        <v>0.29899999999999999</v>
      </c>
      <c r="L15" s="30">
        <f>'10'!$O$17</f>
        <v>0.34979942218880922</v>
      </c>
      <c r="M15" s="30">
        <f>'10'!$C$17</f>
        <v>0.26062850631136047</v>
      </c>
      <c r="N15" s="30">
        <f>'10'!$D$17</f>
        <v>0.35676467000121997</v>
      </c>
      <c r="O15" s="30">
        <f>'10'!$E$17</f>
        <v>0.35397513352596094</v>
      </c>
      <c r="P15" s="30">
        <f>'10'!$F$17</f>
        <v>0.38211216644052465</v>
      </c>
      <c r="Q15" s="30">
        <f>'10'!$G$17</f>
        <v>0.40801972963098282</v>
      </c>
      <c r="R15" s="30">
        <f>'10'!$H$17</f>
        <v>0.27372220817142989</v>
      </c>
      <c r="S15" s="30">
        <f>'10'!$I$17</f>
        <v>0.37539334991087736</v>
      </c>
      <c r="T15" s="30">
        <f>'10'!$J$17</f>
        <v>0.35755998337744144</v>
      </c>
      <c r="U15" s="30">
        <f>'10'!$K$17</f>
        <v>0.28386716416909441</v>
      </c>
      <c r="V15" s="30">
        <f>'10'!$L$17</f>
        <v>0.36437351671558144</v>
      </c>
      <c r="W15" s="30">
        <f>'10'!$M$17</f>
        <v>0.28843137330119073</v>
      </c>
      <c r="X15" s="30">
        <f>'10'!$N$17</f>
        <v>0.48188314944834504</v>
      </c>
    </row>
    <row r="16" spans="1:25" s="2" customFormat="1" ht="47.25" customHeight="1" thickTop="1" thickBot="1" x14ac:dyDescent="0.3">
      <c r="A16" s="45" t="s">
        <v>96</v>
      </c>
      <c r="B16" s="46" t="s">
        <v>178</v>
      </c>
      <c r="C16" s="42" t="s">
        <v>156</v>
      </c>
      <c r="D16" s="43" t="s">
        <v>167</v>
      </c>
      <c r="E16" s="29" t="s">
        <v>53</v>
      </c>
      <c r="F16" s="50" t="s">
        <v>80</v>
      </c>
      <c r="G16" s="51" t="s">
        <v>109</v>
      </c>
      <c r="H16" s="51" t="s">
        <v>108</v>
      </c>
      <c r="I16" s="51" t="s">
        <v>107</v>
      </c>
      <c r="J16" s="67">
        <v>0.98</v>
      </c>
      <c r="K16" s="67">
        <v>0.99</v>
      </c>
      <c r="L16" s="30">
        <f>'11'!$O$17</f>
        <v>0.99490740740740746</v>
      </c>
      <c r="M16" s="30">
        <f>'11'!$C$17</f>
        <v>0.99583333333333335</v>
      </c>
      <c r="N16" s="30">
        <f>'11'!$D$17</f>
        <v>0.99722222222222223</v>
      </c>
      <c r="O16" s="30">
        <f>'11'!$E$17</f>
        <v>0.99444444444444446</v>
      </c>
      <c r="P16" s="30">
        <f>'11'!$F$17</f>
        <v>0.99305555555555558</v>
      </c>
      <c r="Q16" s="30">
        <f>'11'!$G$17</f>
        <v>0.99722222222222223</v>
      </c>
      <c r="R16" s="30">
        <f>'11'!$H$17</f>
        <v>0.9916666666666667</v>
      </c>
      <c r="S16" s="30" t="str">
        <f>'11'!$I$17</f>
        <v>-</v>
      </c>
      <c r="T16" s="30" t="str">
        <f>'11'!$J$17</f>
        <v>-</v>
      </c>
      <c r="U16" s="30" t="str">
        <f>'11'!$K$17</f>
        <v>-</v>
      </c>
      <c r="V16" s="30" t="str">
        <f>'11'!$L$17</f>
        <v>-</v>
      </c>
      <c r="W16" s="30" t="str">
        <f>'11'!$M$17</f>
        <v>-</v>
      </c>
      <c r="X16" s="30" t="str">
        <f>'11'!$N$17</f>
        <v>-</v>
      </c>
      <c r="Y16" s="57"/>
    </row>
    <row r="17" spans="1:26" s="2" customFormat="1" ht="48.75" customHeight="1" thickTop="1" thickBot="1" x14ac:dyDescent="0.3">
      <c r="A17" s="45" t="s">
        <v>97</v>
      </c>
      <c r="B17" s="46" t="s">
        <v>104</v>
      </c>
      <c r="C17" s="42" t="s">
        <v>168</v>
      </c>
      <c r="D17" s="43" t="s">
        <v>258</v>
      </c>
      <c r="E17" s="29" t="s">
        <v>65</v>
      </c>
      <c r="F17" s="50" t="s">
        <v>80</v>
      </c>
      <c r="G17" s="51" t="s">
        <v>126</v>
      </c>
      <c r="H17" s="51" t="s">
        <v>125</v>
      </c>
      <c r="I17" s="51" t="s">
        <v>124</v>
      </c>
      <c r="J17" s="67">
        <v>1</v>
      </c>
      <c r="K17" s="67">
        <v>1</v>
      </c>
      <c r="L17" s="30">
        <f>'12'!$O$17</f>
        <v>1</v>
      </c>
      <c r="M17" s="30" t="str">
        <f>'12'!$C$17</f>
        <v>-</v>
      </c>
      <c r="N17" s="30" t="str">
        <f>'12'!$D$17</f>
        <v>-</v>
      </c>
      <c r="O17" s="30" t="str">
        <f>'12'!$E$17</f>
        <v>-</v>
      </c>
      <c r="P17" s="30" t="str">
        <f>'12'!$F$17</f>
        <v>-</v>
      </c>
      <c r="Q17" s="30" t="str">
        <f>'12'!$G$17</f>
        <v>-</v>
      </c>
      <c r="R17" s="30">
        <f>'12'!$H$17</f>
        <v>1</v>
      </c>
      <c r="S17" s="30" t="str">
        <f>'12'!$I$17</f>
        <v>-</v>
      </c>
      <c r="T17" s="30" t="str">
        <f>'12'!$J$17</f>
        <v>-</v>
      </c>
      <c r="U17" s="30" t="str">
        <f>'12'!$K$17</f>
        <v>-</v>
      </c>
      <c r="V17" s="30" t="str">
        <f>'12'!$L$17</f>
        <v>-</v>
      </c>
      <c r="W17" s="30" t="str">
        <f>'12'!$M$17</f>
        <v>-</v>
      </c>
      <c r="X17" s="30" t="str">
        <f>'12'!$N$17</f>
        <v>-</v>
      </c>
    </row>
    <row r="18" spans="1:26" s="2" customFormat="1" ht="48.75" customHeight="1" thickTop="1" thickBot="1" x14ac:dyDescent="0.3">
      <c r="A18" s="45" t="s">
        <v>98</v>
      </c>
      <c r="B18" s="46" t="s">
        <v>160</v>
      </c>
      <c r="C18" s="42" t="s">
        <v>161</v>
      </c>
      <c r="D18" s="43" t="s">
        <v>259</v>
      </c>
      <c r="E18" s="29" t="s">
        <v>53</v>
      </c>
      <c r="F18" s="50" t="s">
        <v>80</v>
      </c>
      <c r="G18" s="51" t="s">
        <v>162</v>
      </c>
      <c r="H18" s="51" t="s">
        <v>163</v>
      </c>
      <c r="I18" s="51" t="s">
        <v>164</v>
      </c>
      <c r="J18" s="67" t="s">
        <v>266</v>
      </c>
      <c r="K18" s="67" t="s">
        <v>266</v>
      </c>
      <c r="L18" s="30">
        <f>'13'!$O$17</f>
        <v>3.5707200952192026E-3</v>
      </c>
      <c r="M18" s="30">
        <f>'13'!$C$17</f>
        <v>1.2055455093429777E-3</v>
      </c>
      <c r="N18" s="30">
        <f>'13'!$D$17</f>
        <v>2.4009603841536613E-3</v>
      </c>
      <c r="O18" s="30">
        <f>'13'!$E$17</f>
        <v>3.5885167464114833E-3</v>
      </c>
      <c r="P18" s="30">
        <f>'13'!$F$17</f>
        <v>6.5789473684210523E-3</v>
      </c>
      <c r="Q18" s="30">
        <f>'13'!$G$17</f>
        <v>2.3880597014925373E-3</v>
      </c>
      <c r="R18" s="30">
        <f>'13'!$H$17</f>
        <v>5.9523809523809521E-3</v>
      </c>
      <c r="S18" s="30">
        <f>'13'!$I$17</f>
        <v>2.9779630732578916E-3</v>
      </c>
      <c r="T18" s="30">
        <f>'13'!$J$17</f>
        <v>4.154302670623145E-3</v>
      </c>
      <c r="U18" s="30">
        <f>'13'!$K$17</f>
        <v>2.3668639053254438E-3</v>
      </c>
      <c r="V18" s="30">
        <f>'13'!$L$17</f>
        <v>4.7281323877068557E-3</v>
      </c>
      <c r="W18" s="30">
        <f>'13'!$M$17</f>
        <v>2.9463759575721863E-3</v>
      </c>
      <c r="X18" s="30">
        <f>'13'!$N$17</f>
        <v>3.5356511490866236E-3</v>
      </c>
    </row>
    <row r="19" spans="1:26" s="2" customFormat="1" ht="49.5" customHeight="1" thickTop="1" thickBot="1" x14ac:dyDescent="0.3">
      <c r="A19" s="45" t="s">
        <v>158</v>
      </c>
      <c r="B19" s="46" t="s">
        <v>105</v>
      </c>
      <c r="C19" s="42" t="s">
        <v>157</v>
      </c>
      <c r="D19" s="43" t="s">
        <v>146</v>
      </c>
      <c r="E19" s="29" t="s">
        <v>53</v>
      </c>
      <c r="F19" s="50" t="s">
        <v>80</v>
      </c>
      <c r="G19" s="51" t="s">
        <v>126</v>
      </c>
      <c r="H19" s="51" t="s">
        <v>125</v>
      </c>
      <c r="I19" s="51" t="s">
        <v>124</v>
      </c>
      <c r="J19" s="67">
        <v>0.95</v>
      </c>
      <c r="K19" s="67">
        <v>1</v>
      </c>
      <c r="L19" s="30">
        <f>'14'!$O$17</f>
        <v>0.96416057751562656</v>
      </c>
      <c r="M19" s="30">
        <f>'14'!$C$17</f>
        <v>0.96474209495382901</v>
      </c>
      <c r="N19" s="30">
        <f>'14'!$D$17</f>
        <v>0.96377875673029867</v>
      </c>
      <c r="O19" s="30">
        <f>'14'!$E$17</f>
        <v>0.96381989338777363</v>
      </c>
      <c r="P19" s="30">
        <f>'14'!$F$17</f>
        <v>0.96386775892334697</v>
      </c>
      <c r="Q19" s="30">
        <f>'14'!$G$17</f>
        <v>0.96391550948562477</v>
      </c>
      <c r="R19" s="30">
        <f>'14'!$H$17</f>
        <v>0.96402594849616674</v>
      </c>
      <c r="S19" s="30">
        <f>'14'!$I$17</f>
        <v>0.96404306470157841</v>
      </c>
      <c r="T19" s="30">
        <f>'14'!$J$17</f>
        <v>0.96417030982702912</v>
      </c>
      <c r="U19" s="30">
        <f>'14'!$K$17</f>
        <v>0.96429339642933953</v>
      </c>
      <c r="V19" s="30">
        <f>'14'!$L$17</f>
        <v>0.96430719871666348</v>
      </c>
      <c r="W19" s="30">
        <f>'14'!$M$17</f>
        <v>0.96440129449838197</v>
      </c>
      <c r="X19" s="30">
        <f>'14'!$N$17</f>
        <v>0.96434074400176095</v>
      </c>
    </row>
    <row r="20" spans="1:26" ht="6.75" customHeight="1" thickTop="1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2" spans="1:26" x14ac:dyDescent="0.25">
      <c r="Z22" s="49" t="s">
        <v>68</v>
      </c>
    </row>
    <row r="23" spans="1:26" x14ac:dyDescent="0.25">
      <c r="Z23" s="49" t="s">
        <v>69</v>
      </c>
    </row>
    <row r="24" spans="1:26" x14ac:dyDescent="0.25">
      <c r="Z24" s="49" t="s">
        <v>70</v>
      </c>
    </row>
    <row r="25" spans="1:26" x14ac:dyDescent="0.25">
      <c r="Z25" s="49" t="s">
        <v>71</v>
      </c>
    </row>
    <row r="26" spans="1:26" x14ac:dyDescent="0.25">
      <c r="Z26" s="49" t="s">
        <v>72</v>
      </c>
    </row>
    <row r="27" spans="1:26" x14ac:dyDescent="0.25">
      <c r="Z27" s="49" t="s">
        <v>73</v>
      </c>
    </row>
    <row r="28" spans="1:26" x14ac:dyDescent="0.25">
      <c r="Z28" s="49" t="s">
        <v>74</v>
      </c>
    </row>
    <row r="29" spans="1:26" x14ac:dyDescent="0.25">
      <c r="Z29" s="49" t="s">
        <v>75</v>
      </c>
    </row>
    <row r="30" spans="1:26" x14ac:dyDescent="0.25">
      <c r="Z30" s="49" t="s">
        <v>170</v>
      </c>
    </row>
    <row r="31" spans="1:26" x14ac:dyDescent="0.25">
      <c r="Z31" s="49" t="s">
        <v>76</v>
      </c>
    </row>
    <row r="32" spans="1:26" x14ac:dyDescent="0.25">
      <c r="Z32" s="49" t="s">
        <v>77</v>
      </c>
    </row>
    <row r="33" spans="26:26" x14ac:dyDescent="0.25">
      <c r="Z33" s="49" t="s">
        <v>78</v>
      </c>
    </row>
    <row r="34" spans="26:26" x14ac:dyDescent="0.25">
      <c r="Z34" s="49" t="s">
        <v>79</v>
      </c>
    </row>
    <row r="36" spans="26:26" x14ac:dyDescent="0.25">
      <c r="Z36" s="49" t="s">
        <v>80</v>
      </c>
    </row>
    <row r="37" spans="26:26" x14ac:dyDescent="0.25">
      <c r="Z37" s="49" t="s">
        <v>56</v>
      </c>
    </row>
    <row r="38" spans="26:26" x14ac:dyDescent="0.25">
      <c r="Z38" s="49" t="s">
        <v>57</v>
      </c>
    </row>
    <row r="40" spans="26:26" x14ac:dyDescent="0.25">
      <c r="Z40" s="48" t="s">
        <v>4</v>
      </c>
    </row>
    <row r="41" spans="26:26" x14ac:dyDescent="0.25">
      <c r="Z41" s="48" t="s">
        <v>63</v>
      </c>
    </row>
    <row r="42" spans="26:26" x14ac:dyDescent="0.25">
      <c r="Z42" s="48" t="s">
        <v>53</v>
      </c>
    </row>
    <row r="43" spans="26:26" x14ac:dyDescent="0.25">
      <c r="Z43" s="48" t="s">
        <v>64</v>
      </c>
    </row>
    <row r="44" spans="26:26" x14ac:dyDescent="0.25">
      <c r="Z44" s="48" t="s">
        <v>65</v>
      </c>
    </row>
    <row r="45" spans="26:26" x14ac:dyDescent="0.25">
      <c r="Z45" s="48" t="s">
        <v>52</v>
      </c>
    </row>
  </sheetData>
  <sheetProtection algorithmName="SHA-512" hashValue="suD96CKm0TwkOYv27IiPHMy+CnGh05bXANqyF71QrD4ix4U/WOFDD4GSPz6qi5FsQ2nt9wQZWHDxUT26bQplzw==" saltValue="g7doA5ywlFH0ddpVpKw1BA==" spinCount="100000" sheet="1" objects="1" scenarios="1"/>
  <mergeCells count="15">
    <mergeCell ref="A20:X20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7:X7">
    <cfRule type="cellIs" dxfId="26" priority="31" operator="between">
      <formula>0.71</formula>
      <formula>100000</formula>
    </cfRule>
    <cfRule type="cellIs" dxfId="25" priority="32" operator="between">
      <formula>0.6</formula>
      <formula>0.709</formula>
    </cfRule>
    <cfRule type="cellIs" dxfId="24" priority="33" operator="between">
      <formula>0</formula>
      <formula>0.599</formula>
    </cfRule>
  </conditionalFormatting>
  <conditionalFormatting sqref="L8:X8">
    <cfRule type="cellIs" dxfId="23" priority="28" operator="between">
      <formula>45</formula>
      <formula>1000000000</formula>
    </cfRule>
    <cfRule type="cellIs" dxfId="22" priority="29" operator="between">
      <formula>31</formula>
      <formula>44.9</formula>
    </cfRule>
    <cfRule type="cellIs" dxfId="21" priority="30" operator="between">
      <formula>0</formula>
      <formula>30.9</formula>
    </cfRule>
  </conditionalFormatting>
  <conditionalFormatting sqref="L9:X13">
    <cfRule type="cellIs" dxfId="20" priority="25" operator="between">
      <formula>0.8</formula>
      <formula>10000000</formula>
    </cfRule>
    <cfRule type="cellIs" dxfId="19" priority="26" operator="between">
      <formula>0.6</formula>
      <formula>0.799</formula>
    </cfRule>
    <cfRule type="cellIs" dxfId="18" priority="27" operator="between">
      <formula>0</formula>
      <formula>0.599</formula>
    </cfRule>
  </conditionalFormatting>
  <conditionalFormatting sqref="L14:X14">
    <cfRule type="cellIs" dxfId="17" priority="22" operator="between">
      <formula>0.081</formula>
      <formula>100000000</formula>
    </cfRule>
    <cfRule type="cellIs" dxfId="16" priority="23" operator="between">
      <formula>0.05</formula>
      <formula>0.08</formula>
    </cfRule>
    <cfRule type="cellIs" dxfId="15" priority="24" operator="between">
      <formula>0</formula>
      <formula>0.049</formula>
    </cfRule>
  </conditionalFormatting>
  <conditionalFormatting sqref="L15:X15">
    <cfRule type="cellIs" dxfId="14" priority="19" operator="between">
      <formula>0.501</formula>
      <formula>1000000</formula>
    </cfRule>
    <cfRule type="cellIs" dxfId="13" priority="20" operator="between">
      <formula>0.3</formula>
      <formula>0.5</formula>
    </cfRule>
    <cfRule type="cellIs" dxfId="12" priority="21" operator="between">
      <formula>0</formula>
      <formula>0.299</formula>
    </cfRule>
  </conditionalFormatting>
  <conditionalFormatting sqref="L16:X16">
    <cfRule type="cellIs" dxfId="11" priority="16" operator="between">
      <formula>0.8</formula>
      <formula>1000000</formula>
    </cfRule>
    <cfRule type="cellIs" dxfId="10" priority="17" operator="between">
      <formula>0.6</formula>
      <formula>0.799</formula>
    </cfRule>
    <cfRule type="cellIs" dxfId="9" priority="18" operator="between">
      <formula>0</formula>
      <formula>0.599</formula>
    </cfRule>
  </conditionalFormatting>
  <conditionalFormatting sqref="L17:X17 L19:X19">
    <cfRule type="cellIs" dxfId="8" priority="13" operator="between">
      <formula>0.91</formula>
      <formula>10000000</formula>
    </cfRule>
    <cfRule type="cellIs" dxfId="7" priority="14" operator="between">
      <formula>0.71</formula>
      <formula>0.909</formula>
    </cfRule>
    <cfRule type="cellIs" dxfId="6" priority="15" operator="between">
      <formula>0</formula>
      <formula>0.709</formula>
    </cfRule>
  </conditionalFormatting>
  <conditionalFormatting sqref="L18:X18">
    <cfRule type="cellIs" dxfId="5" priority="7" operator="between">
      <formula>0.201</formula>
      <formula>1000000</formula>
    </cfRule>
    <cfRule type="cellIs" dxfId="4" priority="8" operator="between">
      <formula>0.101</formula>
      <formula>0.2</formula>
    </cfRule>
    <cfRule type="cellIs" dxfId="3" priority="9" operator="between">
      <formula>0</formula>
      <formula>0.1</formula>
    </cfRule>
  </conditionalFormatting>
  <conditionalFormatting sqref="L6:X6">
    <cfRule type="cellIs" dxfId="2" priority="1" operator="between">
      <formula>0.8</formula>
      <formula>1000000</formula>
    </cfRule>
    <cfRule type="cellIs" dxfId="1" priority="2" operator="between">
      <formula>0.59</formula>
      <formula>0.7999</formula>
    </cfRule>
    <cfRule type="cellIs" dxfId="0" priority="3" operator="lessThan">
      <formula>0.59</formula>
    </cfRule>
  </conditionalFormatting>
  <dataValidations count="3">
    <dataValidation type="list" allowBlank="1" showInputMessage="1" showErrorMessage="1" sqref="E6:E19">
      <formula1>$Z$40:$Z$45</formula1>
    </dataValidation>
    <dataValidation type="list" allowBlank="1" showInputMessage="1" showErrorMessage="1" sqref="J3:X3">
      <formula1>$Z$22:$Z$34</formula1>
    </dataValidation>
    <dataValidation type="list" allowBlank="1" showInputMessage="1" showErrorMessage="1" sqref="F6:F19">
      <formula1>$Z$36:$Z$38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6" zoomScaleSheetLayoutView="72" workbookViewId="0">
      <selection activeCell="A28" sqref="A28:M3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Tarquí'!$B14</f>
        <v>Calidad del Agua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Tarquí'!F14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Tarquí'!A14</f>
        <v>IN09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28.5" customHeight="1" thickBot="1" x14ac:dyDescent="0.3">
      <c r="A9" s="194" t="str">
        <f>'SET SP Tarquí'!$C14</f>
        <v>Monitorear la calidad de agua suministrada a los usuarios por parte de Aguas de Huila.</v>
      </c>
      <c r="B9" s="195"/>
      <c r="C9" s="195"/>
      <c r="D9" s="195"/>
      <c r="E9" s="17" t="s">
        <v>35</v>
      </c>
      <c r="F9" s="273" t="str">
        <f>'SET SP Tarquí'!$D14</f>
        <v xml:space="preserve">Medición de acuerdo al IRCA          </v>
      </c>
      <c r="G9" s="275"/>
      <c r="H9" s="14">
        <f>$O16</f>
        <v>0.05</v>
      </c>
      <c r="I9" s="28" t="str">
        <f>'SET SP Tarquí'!$E14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0.05</v>
      </c>
      <c r="D15" s="127">
        <f t="shared" si="0"/>
        <v>0.05</v>
      </c>
      <c r="E15" s="127">
        <f t="shared" si="0"/>
        <v>0.05</v>
      </c>
      <c r="F15" s="127">
        <f t="shared" si="0"/>
        <v>0.05</v>
      </c>
      <c r="G15" s="127">
        <f t="shared" si="0"/>
        <v>0.05</v>
      </c>
      <c r="H15" s="127">
        <f t="shared" si="0"/>
        <v>0.05</v>
      </c>
      <c r="I15" s="127">
        <f t="shared" si="0"/>
        <v>0.05</v>
      </c>
      <c r="J15" s="127">
        <f t="shared" si="0"/>
        <v>0.05</v>
      </c>
      <c r="K15" s="127">
        <f t="shared" si="0"/>
        <v>0.05</v>
      </c>
      <c r="L15" s="127">
        <f t="shared" si="0"/>
        <v>0.05</v>
      </c>
      <c r="M15" s="127">
        <f t="shared" si="0"/>
        <v>0.05</v>
      </c>
      <c r="N15" s="127">
        <f t="shared" si="0"/>
        <v>0.05</v>
      </c>
      <c r="O15" s="126">
        <f>'SET SP Tarquí'!J14</f>
        <v>0.05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0.05</v>
      </c>
      <c r="D16" s="127">
        <f t="shared" si="1"/>
        <v>0.05</v>
      </c>
      <c r="E16" s="127">
        <f t="shared" si="1"/>
        <v>0.05</v>
      </c>
      <c r="F16" s="127">
        <f t="shared" si="1"/>
        <v>0.05</v>
      </c>
      <c r="G16" s="127">
        <f t="shared" si="1"/>
        <v>0.05</v>
      </c>
      <c r="H16" s="127">
        <f t="shared" si="1"/>
        <v>0.05</v>
      </c>
      <c r="I16" s="127">
        <f t="shared" si="1"/>
        <v>0.05</v>
      </c>
      <c r="J16" s="127">
        <f t="shared" si="1"/>
        <v>0.05</v>
      </c>
      <c r="K16" s="127">
        <f t="shared" si="1"/>
        <v>0.05</v>
      </c>
      <c r="L16" s="127">
        <f t="shared" si="1"/>
        <v>0.05</v>
      </c>
      <c r="M16" s="127">
        <f t="shared" si="1"/>
        <v>0.05</v>
      </c>
      <c r="N16" s="127">
        <f t="shared" si="1"/>
        <v>0.05</v>
      </c>
      <c r="O16" s="126">
        <f>'SET SP Tarquí'!K14</f>
        <v>0.05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74" t="str">
        <f>IF(C18,C18,"-")</f>
        <v>-</v>
      </c>
      <c r="D17" s="74" t="str">
        <f t="shared" ref="D17:N17" si="2">IF(D18,D18,"-")</f>
        <v>-</v>
      </c>
      <c r="E17" s="74" t="str">
        <f t="shared" si="2"/>
        <v>-</v>
      </c>
      <c r="F17" s="74" t="str">
        <f t="shared" si="2"/>
        <v>-</v>
      </c>
      <c r="G17" s="74" t="str">
        <f t="shared" si="2"/>
        <v>-</v>
      </c>
      <c r="H17" s="74" t="str">
        <f t="shared" si="2"/>
        <v>-</v>
      </c>
      <c r="I17" s="74" t="str">
        <f t="shared" si="2"/>
        <v>-</v>
      </c>
      <c r="J17" s="74" t="str">
        <f t="shared" si="2"/>
        <v>-</v>
      </c>
      <c r="K17" s="74" t="str">
        <f t="shared" si="2"/>
        <v>-</v>
      </c>
      <c r="L17" s="74" t="str">
        <f t="shared" si="2"/>
        <v>-</v>
      </c>
      <c r="M17" s="74" t="str">
        <f t="shared" si="2"/>
        <v>-</v>
      </c>
      <c r="N17" s="74" t="str">
        <f t="shared" si="2"/>
        <v>-</v>
      </c>
      <c r="O17" s="13" t="str">
        <f>IF(ISNUMBER(O18),O18,"-")</f>
        <v>-</v>
      </c>
      <c r="V17" s="9"/>
      <c r="W17" s="10"/>
      <c r="X17" s="10"/>
    </row>
    <row r="18" spans="1:24" ht="23.25" customHeight="1" x14ac:dyDescent="0.25">
      <c r="A18" s="243" t="s">
        <v>37</v>
      </c>
      <c r="B18" s="40" t="s">
        <v>141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9" t="e">
        <f>AVERAGE(C18:N18)</f>
        <v>#DIV/0!</v>
      </c>
      <c r="V18" s="9"/>
      <c r="W18" s="10"/>
      <c r="X18" s="10"/>
    </row>
    <row r="19" spans="1:24" ht="21" customHeight="1" x14ac:dyDescent="0.25">
      <c r="A19" s="243"/>
      <c r="B19" s="7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7.2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Tarquí'!$G14</f>
        <v>Menor al 5%</v>
      </c>
      <c r="E22" s="235"/>
      <c r="F22" s="235"/>
      <c r="G22" s="236"/>
      <c r="H22" s="234" t="str">
        <f>'SET SP Tarquí'!$H14</f>
        <v>Entre el 5% y el 8%</v>
      </c>
      <c r="I22" s="235"/>
      <c r="J22" s="235"/>
      <c r="K22" s="236"/>
      <c r="L22" s="234" t="str">
        <f>'SET SP Tarquí'!$I14</f>
        <v>Mayor al 8%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295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295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295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295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295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295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 t="s">
        <v>3</v>
      </c>
      <c r="O40" s="161"/>
    </row>
    <row r="41" spans="1:17" ht="15.75" thickBot="1" x14ac:dyDescent="0.3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5.25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44">
        <v>0.05</v>
      </c>
    </row>
    <row r="59" spans="17:17" x14ac:dyDescent="0.25">
      <c r="Q59" s="44">
        <v>4.9000000000000002E-2</v>
      </c>
    </row>
  </sheetData>
  <mergeCells count="74">
    <mergeCell ref="A36:M36"/>
    <mergeCell ref="N36:O36"/>
    <mergeCell ref="A37:M37"/>
    <mergeCell ref="N37:O37"/>
    <mergeCell ref="A38:M38"/>
    <mergeCell ref="N38:O38"/>
    <mergeCell ref="A33:M33"/>
    <mergeCell ref="N33:O33"/>
    <mergeCell ref="A34:M34"/>
    <mergeCell ref="N34:O34"/>
    <mergeCell ref="A35:M35"/>
    <mergeCell ref="N35:O35"/>
    <mergeCell ref="A30:M30"/>
    <mergeCell ref="N30:O30"/>
    <mergeCell ref="A31:M31"/>
    <mergeCell ref="N31:O31"/>
    <mergeCell ref="A32:M32"/>
    <mergeCell ref="N32:O32"/>
    <mergeCell ref="N27:O27"/>
    <mergeCell ref="A28:M28"/>
    <mergeCell ref="N28:O28"/>
    <mergeCell ref="A29:M29"/>
    <mergeCell ref="N29:O29"/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L23:O23"/>
    <mergeCell ref="A27:M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A14:B14"/>
    <mergeCell ref="I7:I8"/>
    <mergeCell ref="J7:K8"/>
    <mergeCell ref="L7:O7"/>
    <mergeCell ref="L8:M8"/>
    <mergeCell ref="H7:H8"/>
    <mergeCell ref="N8:O8"/>
    <mergeCell ref="D1:O1"/>
    <mergeCell ref="D2:O2"/>
    <mergeCell ref="A3:E3"/>
    <mergeCell ref="F3:O3"/>
    <mergeCell ref="A4:E4"/>
    <mergeCell ref="F4:O4"/>
    <mergeCell ref="A1:C2"/>
    <mergeCell ref="A9:D9"/>
    <mergeCell ref="F9:G9"/>
    <mergeCell ref="L22:O22"/>
    <mergeCell ref="D23:G23"/>
    <mergeCell ref="H23:K23"/>
    <mergeCell ref="A11:O11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2"/>
  <sheetViews>
    <sheetView topLeftCell="A26" zoomScaleSheetLayoutView="72" workbookViewId="0">
      <selection activeCell="A40" sqref="A40:M40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6" width="7.7109375" style="3" customWidth="1"/>
    <col min="17" max="18" width="7.7109375" style="3" hidden="1" customWidth="1"/>
    <col min="19" max="19" width="7.71093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Tarquí'!$B15</f>
        <v>Índice de agua no contabilizada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Tarquí'!F15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Tarquí'!A15</f>
        <v>IN10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45.75" customHeight="1" thickBot="1" x14ac:dyDescent="0.3">
      <c r="A9" s="194" t="str">
        <f>'SET SP Tarquí'!$C15</f>
        <v>Lograr que Aguas del Huila facture la totalidad del agua producida.</v>
      </c>
      <c r="B9" s="195"/>
      <c r="C9" s="195"/>
      <c r="D9" s="195"/>
      <c r="E9" s="17" t="s">
        <v>35</v>
      </c>
      <c r="F9" s="273" t="str">
        <f>'SET SP Tarquí'!$D15</f>
        <v xml:space="preserve">(Volumen  producido - Volumen facturado /   Volumen  producido)   x 100          </v>
      </c>
      <c r="G9" s="275"/>
      <c r="H9" s="14">
        <f>$O16</f>
        <v>0.29899999999999999</v>
      </c>
      <c r="I9" s="37" t="str">
        <f>'SET SP Tarquí'!$E15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0.3</v>
      </c>
      <c r="D15" s="127">
        <f t="shared" si="0"/>
        <v>0.3</v>
      </c>
      <c r="E15" s="127">
        <f t="shared" si="0"/>
        <v>0.3</v>
      </c>
      <c r="F15" s="127">
        <f t="shared" si="0"/>
        <v>0.3</v>
      </c>
      <c r="G15" s="127">
        <f t="shared" si="0"/>
        <v>0.3</v>
      </c>
      <c r="H15" s="127">
        <f t="shared" si="0"/>
        <v>0.3</v>
      </c>
      <c r="I15" s="127">
        <f t="shared" si="0"/>
        <v>0.3</v>
      </c>
      <c r="J15" s="127">
        <f t="shared" si="0"/>
        <v>0.3</v>
      </c>
      <c r="K15" s="127">
        <f t="shared" si="0"/>
        <v>0.3</v>
      </c>
      <c r="L15" s="127">
        <f t="shared" si="0"/>
        <v>0.3</v>
      </c>
      <c r="M15" s="127">
        <f t="shared" si="0"/>
        <v>0.3</v>
      </c>
      <c r="N15" s="127">
        <f t="shared" si="0"/>
        <v>0.3</v>
      </c>
      <c r="O15" s="126">
        <f>'SET SP Tarquí'!J15</f>
        <v>0.3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0.29899999999999999</v>
      </c>
      <c r="D16" s="127">
        <f t="shared" si="1"/>
        <v>0.29899999999999999</v>
      </c>
      <c r="E16" s="127">
        <f t="shared" si="1"/>
        <v>0.29899999999999999</v>
      </c>
      <c r="F16" s="127">
        <f t="shared" si="1"/>
        <v>0.29899999999999999</v>
      </c>
      <c r="G16" s="127">
        <f t="shared" si="1"/>
        <v>0.29899999999999999</v>
      </c>
      <c r="H16" s="127">
        <f t="shared" si="1"/>
        <v>0.29899999999999999</v>
      </c>
      <c r="I16" s="127">
        <f t="shared" si="1"/>
        <v>0.29899999999999999</v>
      </c>
      <c r="J16" s="127">
        <f t="shared" si="1"/>
        <v>0.29899999999999999</v>
      </c>
      <c r="K16" s="127">
        <f t="shared" si="1"/>
        <v>0.29899999999999999</v>
      </c>
      <c r="L16" s="127">
        <f t="shared" si="1"/>
        <v>0.29899999999999999</v>
      </c>
      <c r="M16" s="127">
        <f t="shared" si="1"/>
        <v>0.29899999999999999</v>
      </c>
      <c r="N16" s="127">
        <f t="shared" si="1"/>
        <v>0.29899999999999999</v>
      </c>
      <c r="O16" s="126">
        <f>'SET SP Tarquí'!K15</f>
        <v>0.29899999999999999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>IF((C19),(C18-C19)/C18,"-")</f>
        <v>0.26062850631136047</v>
      </c>
      <c r="D17" s="12">
        <f t="shared" ref="D17:O17" si="2">IF((D19),(D18-D19)/D18,"-")</f>
        <v>0.35676467000121997</v>
      </c>
      <c r="E17" s="12">
        <f t="shared" si="2"/>
        <v>0.35397513352596094</v>
      </c>
      <c r="F17" s="12">
        <f t="shared" si="2"/>
        <v>0.38211216644052465</v>
      </c>
      <c r="G17" s="12">
        <f t="shared" si="2"/>
        <v>0.40801972963098282</v>
      </c>
      <c r="H17" s="12">
        <f t="shared" si="2"/>
        <v>0.27372220817142989</v>
      </c>
      <c r="I17" s="12">
        <f t="shared" si="2"/>
        <v>0.37539334991087736</v>
      </c>
      <c r="J17" s="12">
        <f t="shared" si="2"/>
        <v>0.35755998337744144</v>
      </c>
      <c r="K17" s="12">
        <f t="shared" si="2"/>
        <v>0.28386716416909441</v>
      </c>
      <c r="L17" s="12">
        <f t="shared" si="2"/>
        <v>0.36437351671558144</v>
      </c>
      <c r="M17" s="12">
        <f t="shared" si="2"/>
        <v>0.28843137330119073</v>
      </c>
      <c r="N17" s="12">
        <f t="shared" si="2"/>
        <v>0.48188314944834504</v>
      </c>
      <c r="O17" s="13">
        <f t="shared" si="2"/>
        <v>0.34979942218880922</v>
      </c>
      <c r="V17" s="9"/>
      <c r="W17" s="10"/>
      <c r="X17" s="10"/>
    </row>
    <row r="18" spans="1:24" ht="17.25" customHeight="1" x14ac:dyDescent="0.25">
      <c r="A18" s="243" t="s">
        <v>37</v>
      </c>
      <c r="B18" s="40" t="s">
        <v>142</v>
      </c>
      <c r="C18" s="23">
        <f>'TARQUI-18'!D$9</f>
        <v>45632</v>
      </c>
      <c r="D18" s="23">
        <f>'TARQUI-18'!E$9</f>
        <v>40985</v>
      </c>
      <c r="E18" s="23">
        <f>'TARQUI-18'!F$9</f>
        <v>45684</v>
      </c>
      <c r="F18" s="23">
        <f>'TARQUI-18'!G$9</f>
        <v>44220</v>
      </c>
      <c r="G18" s="23">
        <f>'TARQUI-18'!H$9</f>
        <v>43792</v>
      </c>
      <c r="H18" s="23">
        <f>'TARQUI-18'!I$9</f>
        <v>43493</v>
      </c>
      <c r="I18" s="23">
        <f>'TARQUI-18'!J$9</f>
        <v>45443</v>
      </c>
      <c r="J18" s="23">
        <f>'TARQUI-18'!K$9</f>
        <v>45721</v>
      </c>
      <c r="K18" s="23">
        <f>'TARQUI-18'!L$9</f>
        <v>43538.012000000002</v>
      </c>
      <c r="L18" s="23">
        <f>'TARQUI-18'!M$9</f>
        <v>44082.493000000002</v>
      </c>
      <c r="M18" s="23">
        <f>'TARQUI-18'!N$9</f>
        <v>43794.792000000001</v>
      </c>
      <c r="N18" s="23">
        <f>'TARQUI-18'!O$9</f>
        <v>47856</v>
      </c>
      <c r="O18" s="24">
        <f>SUM(C18:N18)</f>
        <v>534241.29700000002</v>
      </c>
      <c r="V18" s="9"/>
      <c r="W18" s="10"/>
      <c r="X18" s="10"/>
    </row>
    <row r="19" spans="1:24" ht="17.25" customHeight="1" x14ac:dyDescent="0.25">
      <c r="A19" s="243"/>
      <c r="B19" s="40" t="s">
        <v>143</v>
      </c>
      <c r="C19" s="23">
        <f>'TARQUI-18'!D$10</f>
        <v>33739</v>
      </c>
      <c r="D19" s="23">
        <f>'TARQUI-18'!E$10</f>
        <v>26363</v>
      </c>
      <c r="E19" s="23">
        <f>'TARQUI-18'!F$10</f>
        <v>29513</v>
      </c>
      <c r="F19" s="23">
        <f>'TARQUI-18'!G$10</f>
        <v>27323</v>
      </c>
      <c r="G19" s="23">
        <f>'TARQUI-18'!H$10</f>
        <v>25924</v>
      </c>
      <c r="H19" s="23">
        <f>'TARQUI-18'!I$10</f>
        <v>31588</v>
      </c>
      <c r="I19" s="23">
        <f>'TARQUI-18'!J$10</f>
        <v>28384</v>
      </c>
      <c r="J19" s="23">
        <f>'TARQUI-18'!K$10</f>
        <v>29373</v>
      </c>
      <c r="K19" s="23">
        <f>'TARQUI-18'!L$10</f>
        <v>31179</v>
      </c>
      <c r="L19" s="23">
        <f>'TARQUI-18'!M$10</f>
        <v>28020</v>
      </c>
      <c r="M19" s="23">
        <f>'TARQUI-18'!N$10</f>
        <v>31163</v>
      </c>
      <c r="N19" s="23">
        <f>'TARQUI-18'!O$10</f>
        <v>24795</v>
      </c>
      <c r="O19" s="24">
        <f>SUM(C19:N19)</f>
        <v>347364</v>
      </c>
      <c r="V19" s="9"/>
      <c r="W19" s="10"/>
      <c r="X19" s="10"/>
    </row>
    <row r="20" spans="1:24" ht="12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Tarquí'!$G15</f>
        <v>Menor al 30%</v>
      </c>
      <c r="E22" s="235"/>
      <c r="F22" s="235"/>
      <c r="G22" s="236"/>
      <c r="H22" s="234" t="str">
        <f>'SET SP Tarquí'!$H15</f>
        <v>Entre el 30% y el 50%</v>
      </c>
      <c r="I22" s="235"/>
      <c r="J22" s="235"/>
      <c r="K22" s="236"/>
      <c r="L22" s="234" t="str">
        <f>'SET SP Tarquí'!$I15</f>
        <v>Mayor al 50%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x14ac:dyDescent="0.25">
      <c r="A27" s="158" t="s">
        <v>296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x14ac:dyDescent="0.25">
      <c r="A28" s="158" t="s">
        <v>297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x14ac:dyDescent="0.25">
      <c r="A29" s="158" t="s">
        <v>297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x14ac:dyDescent="0.25">
      <c r="A30" s="158" t="s">
        <v>297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x14ac:dyDescent="0.25">
      <c r="A31" s="158" t="s">
        <v>297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7.25" customHeight="1" x14ac:dyDescent="0.2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7.2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298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9">
        <v>43101</v>
      </c>
      <c r="O40" s="170"/>
    </row>
    <row r="41" spans="1:17" ht="15" x14ac:dyDescent="0.25">
      <c r="A41" s="158" t="s">
        <v>298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9">
        <v>43132</v>
      </c>
      <c r="O41" s="170"/>
    </row>
    <row r="42" spans="1:17" ht="15" x14ac:dyDescent="0.25">
      <c r="A42" s="158" t="s">
        <v>298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9">
        <v>43160</v>
      </c>
      <c r="O42" s="170"/>
    </row>
    <row r="43" spans="1:17" ht="15" x14ac:dyDescent="0.25">
      <c r="A43" s="158" t="s">
        <v>298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9">
        <v>43191</v>
      </c>
      <c r="O43" s="170"/>
    </row>
    <row r="44" spans="1:17" ht="15.75" thickBot="1" x14ac:dyDescent="0.3">
      <c r="A44" s="158" t="s">
        <v>298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69">
        <v>43221</v>
      </c>
      <c r="O44" s="170"/>
    </row>
    <row r="45" spans="1:17" ht="5.25" customHeight="1" x14ac:dyDescent="0.25">
      <c r="A45" s="230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</row>
    <row r="47" spans="1:17" ht="14.25" x14ac:dyDescent="0.2">
      <c r="Q47" s="49" t="s">
        <v>81</v>
      </c>
    </row>
    <row r="48" spans="1:17" ht="14.25" x14ac:dyDescent="0.2">
      <c r="Q48" s="49" t="s">
        <v>82</v>
      </c>
    </row>
    <row r="49" spans="17:17" ht="14.25" x14ac:dyDescent="0.2">
      <c r="Q49" s="49" t="s">
        <v>83</v>
      </c>
    </row>
    <row r="50" spans="17:17" ht="14.25" x14ac:dyDescent="0.2">
      <c r="Q50" s="49" t="s">
        <v>84</v>
      </c>
    </row>
    <row r="51" spans="17:17" ht="14.25" x14ac:dyDescent="0.2">
      <c r="Q51" s="49" t="s">
        <v>85</v>
      </c>
    </row>
    <row r="52" spans="17:17" ht="14.25" x14ac:dyDescent="0.2">
      <c r="Q52" s="49" t="s">
        <v>86</v>
      </c>
    </row>
    <row r="53" spans="17:17" ht="14.25" x14ac:dyDescent="0.2">
      <c r="Q53" s="49" t="s">
        <v>87</v>
      </c>
    </row>
    <row r="54" spans="17:17" ht="14.25" x14ac:dyDescent="0.2">
      <c r="Q54" s="49" t="s">
        <v>88</v>
      </c>
    </row>
    <row r="55" spans="17:17" ht="14.25" x14ac:dyDescent="0.2">
      <c r="Q55" s="49" t="s">
        <v>89</v>
      </c>
    </row>
    <row r="56" spans="17:17" ht="14.25" x14ac:dyDescent="0.2">
      <c r="Q56" s="49" t="s">
        <v>90</v>
      </c>
    </row>
    <row r="57" spans="17:17" ht="14.25" x14ac:dyDescent="0.2">
      <c r="Q57" s="49" t="s">
        <v>91</v>
      </c>
    </row>
    <row r="58" spans="17:17" ht="14.25" x14ac:dyDescent="0.2">
      <c r="Q58" s="49" t="s">
        <v>92</v>
      </c>
    </row>
    <row r="59" spans="17:17" ht="14.25" x14ac:dyDescent="0.2">
      <c r="Q59" s="49" t="s">
        <v>93</v>
      </c>
    </row>
    <row r="61" spans="17:17" x14ac:dyDescent="0.25">
      <c r="Q61" s="44">
        <v>0.3</v>
      </c>
    </row>
    <row r="62" spans="17:17" x14ac:dyDescent="0.25">
      <c r="Q62" s="44">
        <v>0.29899999999999999</v>
      </c>
    </row>
  </sheetData>
  <mergeCells count="80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38:M38"/>
    <mergeCell ref="A26:M26"/>
    <mergeCell ref="N26:O26"/>
    <mergeCell ref="A27:M27"/>
    <mergeCell ref="N27:O27"/>
    <mergeCell ref="A28:M28"/>
    <mergeCell ref="N28:O2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29:M29"/>
    <mergeCell ref="N29:O29"/>
    <mergeCell ref="A30:M30"/>
    <mergeCell ref="N30:O30"/>
    <mergeCell ref="A31:M31"/>
    <mergeCell ref="N31:O31"/>
    <mergeCell ref="A45:O45"/>
    <mergeCell ref="A39:M39"/>
    <mergeCell ref="N39:O39"/>
    <mergeCell ref="A40:M40"/>
    <mergeCell ref="N40:O40"/>
    <mergeCell ref="A44:M44"/>
    <mergeCell ref="N44:O44"/>
    <mergeCell ref="A41:M41"/>
    <mergeCell ref="N41:O41"/>
    <mergeCell ref="A42:M42"/>
    <mergeCell ref="N42:O42"/>
    <mergeCell ref="A43:M43"/>
    <mergeCell ref="N43:O43"/>
  </mergeCells>
  <dataValidations count="1">
    <dataValidation type="list" allowBlank="1" showInputMessage="1" showErrorMessage="1" sqref="J9:O9">
      <formula1>$Q$47:$Q$59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6" zoomScaleSheetLayoutView="72" workbookViewId="0">
      <selection activeCell="A28" sqref="A28:M2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5703125" style="3" customWidth="1"/>
    <col min="17" max="18" width="7.5703125" style="3" hidden="1" customWidth="1"/>
    <col min="19" max="19" width="7.57031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Tarquí'!$B16</f>
        <v>Continuidad del servicio (Acueducto)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Tarquí'!F16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Tarquí'!A16</f>
        <v>IN11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36.75" customHeight="1" thickBot="1" x14ac:dyDescent="0.3">
      <c r="A9" s="194" t="str">
        <f>'SET SP Tarquí'!$C16</f>
        <v>Prestar el servico de acueducto en forma continua las 24 horas.</v>
      </c>
      <c r="B9" s="195"/>
      <c r="C9" s="195"/>
      <c r="D9" s="195"/>
      <c r="E9" s="17" t="s">
        <v>35</v>
      </c>
      <c r="F9" s="273" t="str">
        <f>'SET SP Tarquí'!$D16</f>
        <v>(720 - Horas sin servicio mensuales) / 720) * 100</v>
      </c>
      <c r="G9" s="275"/>
      <c r="H9" s="14">
        <f>$O16</f>
        <v>0.99</v>
      </c>
      <c r="I9" s="37" t="str">
        <f>'SET SP Tarquí'!$E16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0.98</v>
      </c>
      <c r="D15" s="125">
        <f t="shared" si="0"/>
        <v>0.98</v>
      </c>
      <c r="E15" s="125">
        <f t="shared" si="0"/>
        <v>0.98</v>
      </c>
      <c r="F15" s="125">
        <f t="shared" si="0"/>
        <v>0.98</v>
      </c>
      <c r="G15" s="125">
        <f t="shared" si="0"/>
        <v>0.98</v>
      </c>
      <c r="H15" s="125">
        <f t="shared" si="0"/>
        <v>0.98</v>
      </c>
      <c r="I15" s="125">
        <f t="shared" si="0"/>
        <v>0.98</v>
      </c>
      <c r="J15" s="125">
        <f t="shared" si="0"/>
        <v>0.98</v>
      </c>
      <c r="K15" s="125">
        <f t="shared" si="0"/>
        <v>0.98</v>
      </c>
      <c r="L15" s="125">
        <f t="shared" si="0"/>
        <v>0.98</v>
      </c>
      <c r="M15" s="125">
        <f t="shared" si="0"/>
        <v>0.98</v>
      </c>
      <c r="N15" s="125">
        <f t="shared" si="0"/>
        <v>0.98</v>
      </c>
      <c r="O15" s="131">
        <f>'SET SP Tarquí'!J16</f>
        <v>0.98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0.99</v>
      </c>
      <c r="D16" s="125">
        <f t="shared" si="1"/>
        <v>0.99</v>
      </c>
      <c r="E16" s="125">
        <f t="shared" si="1"/>
        <v>0.99</v>
      </c>
      <c r="F16" s="125">
        <f t="shared" si="1"/>
        <v>0.99</v>
      </c>
      <c r="G16" s="125">
        <f t="shared" si="1"/>
        <v>0.99</v>
      </c>
      <c r="H16" s="125">
        <f t="shared" si="1"/>
        <v>0.99</v>
      </c>
      <c r="I16" s="125">
        <f t="shared" si="1"/>
        <v>0.99</v>
      </c>
      <c r="J16" s="125">
        <f t="shared" si="1"/>
        <v>0.99</v>
      </c>
      <c r="K16" s="125">
        <f t="shared" si="1"/>
        <v>0.99</v>
      </c>
      <c r="L16" s="125">
        <f t="shared" si="1"/>
        <v>0.99</v>
      </c>
      <c r="M16" s="125">
        <f t="shared" si="1"/>
        <v>0.99</v>
      </c>
      <c r="N16" s="125">
        <f t="shared" si="1"/>
        <v>0.99</v>
      </c>
      <c r="O16" s="131">
        <f>'SET SP Tarquí'!K16</f>
        <v>0.99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>IF(ISNUMBER(C18),(720-C18)/720,"-")</f>
        <v>0.99583333333333335</v>
      </c>
      <c r="D17" s="12">
        <f t="shared" ref="D17:N17" si="2">IF(ISNUMBER(D18),(720-D18)/720,"-")</f>
        <v>0.99722222222222223</v>
      </c>
      <c r="E17" s="12">
        <f t="shared" si="2"/>
        <v>0.99444444444444446</v>
      </c>
      <c r="F17" s="12">
        <f t="shared" si="2"/>
        <v>0.99305555555555558</v>
      </c>
      <c r="G17" s="12">
        <f t="shared" si="2"/>
        <v>0.99722222222222223</v>
      </c>
      <c r="H17" s="12">
        <f t="shared" si="2"/>
        <v>0.9916666666666667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>
        <f>IF(ISNUMBER(O18),(720-O18)/720,"-")</f>
        <v>0.99490740740740746</v>
      </c>
      <c r="V17" s="9"/>
      <c r="W17" s="10"/>
      <c r="X17" s="10"/>
    </row>
    <row r="18" spans="1:24" ht="16.5" customHeight="1" x14ac:dyDescent="0.25">
      <c r="A18" s="243" t="s">
        <v>37</v>
      </c>
      <c r="B18" s="40" t="s">
        <v>169</v>
      </c>
      <c r="C18" s="4">
        <f>+'TARQUI-18'!D39</f>
        <v>3</v>
      </c>
      <c r="D18" s="4">
        <f>+'TARQUI-18'!E39</f>
        <v>2</v>
      </c>
      <c r="E18" s="4">
        <f>+'TARQUI-18'!F39</f>
        <v>4</v>
      </c>
      <c r="F18" s="4">
        <f>+'TARQUI-18'!G39</f>
        <v>5</v>
      </c>
      <c r="G18" s="4">
        <f>+'TARQUI-18'!H39</f>
        <v>2</v>
      </c>
      <c r="H18" s="4">
        <f>+'TARQUI-18'!I39</f>
        <v>6</v>
      </c>
      <c r="I18" s="4" t="str">
        <f>+'TARQUI-18'!J39</f>
        <v>*</v>
      </c>
      <c r="J18" s="4" t="str">
        <f>+'TARQUI-18'!K39</f>
        <v>*</v>
      </c>
      <c r="K18" s="4" t="str">
        <f>+'TARQUI-18'!L39</f>
        <v>*</v>
      </c>
      <c r="L18" s="4" t="str">
        <f>+'TARQUI-18'!M39</f>
        <v>*</v>
      </c>
      <c r="M18" s="4" t="str">
        <f>+'TARQUI-18'!N39</f>
        <v>*</v>
      </c>
      <c r="N18" s="4" t="str">
        <f>+'TARQUI-18'!O39</f>
        <v>*</v>
      </c>
      <c r="O18" s="62">
        <f>AVERAGE(C18:N18)</f>
        <v>3.6666666666666665</v>
      </c>
      <c r="V18" s="9"/>
      <c r="W18" s="10"/>
      <c r="X18" s="10"/>
    </row>
    <row r="19" spans="1:24" ht="13.5" customHeight="1" x14ac:dyDescent="0.25">
      <c r="A19" s="243"/>
      <c r="B19" s="76" t="s">
        <v>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4.2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4.2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Tarquí'!$G16</f>
        <v>Entre 80% y 100%</v>
      </c>
      <c r="E22" s="235"/>
      <c r="F22" s="235"/>
      <c r="G22" s="236"/>
      <c r="H22" s="234" t="str">
        <f>'SET SP Tarquí'!$H16</f>
        <v>Entre 60% y 79%</v>
      </c>
      <c r="I22" s="235"/>
      <c r="J22" s="235"/>
      <c r="K22" s="236"/>
      <c r="L22" s="234" t="str">
        <f>'SET SP Tarquí'!$I16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299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299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299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299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299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299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 t="s">
        <v>3</v>
      </c>
      <c r="O40" s="161"/>
    </row>
    <row r="41" spans="1:17" ht="15.75" thickBot="1" x14ac:dyDescent="0.3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5.25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</v>
      </c>
    </row>
    <row r="59" spans="17:17" x14ac:dyDescent="0.25">
      <c r="Q59" s="11">
        <v>0.95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42:O42"/>
    <mergeCell ref="A39:M39"/>
    <mergeCell ref="N39:O39"/>
    <mergeCell ref="A40:M40"/>
    <mergeCell ref="N40:O40"/>
    <mergeCell ref="A41:M41"/>
    <mergeCell ref="N41:O41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10" zoomScaleSheetLayoutView="72" workbookViewId="0">
      <selection activeCell="H19" sqref="H19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85546875" style="3" customWidth="1"/>
    <col min="17" max="18" width="6.85546875" style="3" hidden="1" customWidth="1"/>
    <col min="19" max="19" width="6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Tarquí'!$B17</f>
        <v>Continuidad del Servicio (Aseo)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Tarquí'!F17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Tarquí'!A17</f>
        <v>IN12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46.5" customHeight="1" thickBot="1" x14ac:dyDescent="0.3">
      <c r="A9" s="194" t="str">
        <f>'SET SP Tarquí'!$C17</f>
        <v>Recolectar los residuos solidos en los dias y rutas establecidas en el PGIRS.</v>
      </c>
      <c r="B9" s="195"/>
      <c r="C9" s="195"/>
      <c r="D9" s="195"/>
      <c r="E9" s="17" t="s">
        <v>35</v>
      </c>
      <c r="F9" s="273" t="str">
        <f>'SET SP Tarquí'!$D17</f>
        <v>Número de dias de recolección de residuos sólidos por semestre / 144</v>
      </c>
      <c r="G9" s="275"/>
      <c r="H9" s="14">
        <f>$O16</f>
        <v>1</v>
      </c>
      <c r="I9" s="37" t="str">
        <f>'SET SP Tarquí'!$E17</f>
        <v>Semestral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1</v>
      </c>
      <c r="D15" s="125">
        <f t="shared" si="0"/>
        <v>1</v>
      </c>
      <c r="E15" s="125">
        <f t="shared" si="0"/>
        <v>1</v>
      </c>
      <c r="F15" s="125">
        <f t="shared" si="0"/>
        <v>1</v>
      </c>
      <c r="G15" s="125">
        <f t="shared" si="0"/>
        <v>1</v>
      </c>
      <c r="H15" s="125">
        <f t="shared" si="0"/>
        <v>1</v>
      </c>
      <c r="I15" s="125">
        <f t="shared" si="0"/>
        <v>1</v>
      </c>
      <c r="J15" s="125">
        <f t="shared" si="0"/>
        <v>1</v>
      </c>
      <c r="K15" s="125">
        <f t="shared" si="0"/>
        <v>1</v>
      </c>
      <c r="L15" s="125">
        <f t="shared" si="0"/>
        <v>1</v>
      </c>
      <c r="M15" s="125">
        <f t="shared" si="0"/>
        <v>1</v>
      </c>
      <c r="N15" s="125">
        <f t="shared" si="0"/>
        <v>1</v>
      </c>
      <c r="O15" s="131">
        <f>'SET SP Tarquí'!J17</f>
        <v>1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1</v>
      </c>
      <c r="D16" s="125">
        <f t="shared" si="1"/>
        <v>1</v>
      </c>
      <c r="E16" s="125">
        <f t="shared" si="1"/>
        <v>1</v>
      </c>
      <c r="F16" s="125">
        <f t="shared" si="1"/>
        <v>1</v>
      </c>
      <c r="G16" s="125">
        <f t="shared" si="1"/>
        <v>1</v>
      </c>
      <c r="H16" s="125">
        <f t="shared" si="1"/>
        <v>1</v>
      </c>
      <c r="I16" s="125">
        <f t="shared" si="1"/>
        <v>1</v>
      </c>
      <c r="J16" s="125">
        <f t="shared" si="1"/>
        <v>1</v>
      </c>
      <c r="K16" s="125">
        <f t="shared" si="1"/>
        <v>1</v>
      </c>
      <c r="L16" s="125">
        <f t="shared" si="1"/>
        <v>1</v>
      </c>
      <c r="M16" s="125">
        <f t="shared" si="1"/>
        <v>1</v>
      </c>
      <c r="N16" s="125">
        <f t="shared" si="1"/>
        <v>1</v>
      </c>
      <c r="O16" s="131">
        <f>'SET SP Tarquí'!K17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 t="str">
        <f>IF(ISNUMBER(C18),C18/144,"-")</f>
        <v>-</v>
      </c>
      <c r="D17" s="12" t="str">
        <f t="shared" ref="D17:N17" si="2">IF(ISNUMBER(D18),D18/144,"-")</f>
        <v>-</v>
      </c>
      <c r="E17" s="12" t="str">
        <f t="shared" si="2"/>
        <v>-</v>
      </c>
      <c r="F17" s="12" t="str">
        <f t="shared" si="2"/>
        <v>-</v>
      </c>
      <c r="G17" s="12" t="str">
        <f t="shared" si="2"/>
        <v>-</v>
      </c>
      <c r="H17" s="12">
        <f t="shared" si="2"/>
        <v>1</v>
      </c>
      <c r="I17" s="12" t="str">
        <f t="shared" si="2"/>
        <v>-</v>
      </c>
      <c r="J17" s="12" t="str">
        <f t="shared" si="2"/>
        <v>-</v>
      </c>
      <c r="K17" s="12" t="str">
        <f t="shared" si="2"/>
        <v>-</v>
      </c>
      <c r="L17" s="12" t="str">
        <f t="shared" si="2"/>
        <v>-</v>
      </c>
      <c r="M17" s="12" t="str">
        <f t="shared" si="2"/>
        <v>-</v>
      </c>
      <c r="N17" s="12" t="str">
        <f t="shared" si="2"/>
        <v>-</v>
      </c>
      <c r="O17" s="13">
        <f t="shared" ref="O17" si="3">IF((O18),O18/144,"-")</f>
        <v>1</v>
      </c>
      <c r="V17" s="9"/>
      <c r="W17" s="10"/>
      <c r="X17" s="10"/>
    </row>
    <row r="18" spans="1:24" ht="21.75" customHeight="1" x14ac:dyDescent="0.25">
      <c r="A18" s="243" t="s">
        <v>37</v>
      </c>
      <c r="B18" s="40" t="s">
        <v>144</v>
      </c>
      <c r="C18" s="4"/>
      <c r="D18" s="4"/>
      <c r="E18" s="4"/>
      <c r="F18" s="4"/>
      <c r="G18" s="4"/>
      <c r="H18" s="4">
        <v>144</v>
      </c>
      <c r="I18" s="4"/>
      <c r="J18" s="4"/>
      <c r="K18" s="4"/>
      <c r="L18" s="4"/>
      <c r="M18" s="4"/>
      <c r="N18" s="4"/>
      <c r="O18" s="19">
        <f>SUM(C18:N18)</f>
        <v>144</v>
      </c>
      <c r="V18" s="9"/>
      <c r="W18" s="10"/>
      <c r="X18" s="10"/>
    </row>
    <row r="19" spans="1:24" ht="18" customHeight="1" x14ac:dyDescent="0.25">
      <c r="A19" s="243"/>
      <c r="B19" s="4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V19" s="9"/>
      <c r="W19" s="10"/>
      <c r="X19" s="10"/>
    </row>
    <row r="20" spans="1:24" ht="13.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Tarquí'!$G17</f>
        <v>Entre 91% y 100%</v>
      </c>
      <c r="E22" s="235"/>
      <c r="F22" s="235"/>
      <c r="G22" s="236"/>
      <c r="H22" s="234" t="str">
        <f>'SET SP Tarquí'!$H17</f>
        <v>Entre 71% y 90%</v>
      </c>
      <c r="I22" s="235"/>
      <c r="J22" s="235"/>
      <c r="K22" s="236"/>
      <c r="L22" s="234" t="str">
        <f>'SET SP Tarquí'!$I17</f>
        <v>Menor al 70%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 t="s">
        <v>3</v>
      </c>
      <c r="O40" s="161"/>
    </row>
    <row r="41" spans="1:17" ht="15.75" thickBot="1" x14ac:dyDescent="0.3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5.25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0.98</v>
      </c>
    </row>
    <row r="59" spans="17:17" x14ac:dyDescent="0.25">
      <c r="Q59" s="11">
        <v>1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42:O42"/>
    <mergeCell ref="A39:M39"/>
    <mergeCell ref="N39:O39"/>
    <mergeCell ref="A40:M40"/>
    <mergeCell ref="N40:O40"/>
    <mergeCell ref="A41:M41"/>
    <mergeCell ref="N41:O41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31" zoomScaleSheetLayoutView="72" workbookViewId="0">
      <selection activeCell="A35" sqref="A35:M3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9.42578125" style="3" customWidth="1"/>
    <col min="17" max="17" width="8.5703125" style="3" hidden="1" customWidth="1"/>
    <col min="18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Tarquí'!$B18</f>
        <v>PQR en la prestación del servicio.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Tarquí'!F18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Tarquí'!A18</f>
        <v>IN13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48.75" customHeight="1" thickBot="1" x14ac:dyDescent="0.3">
      <c r="A9" s="194" t="str">
        <f>'SET SP Tarquí'!$C18</f>
        <v>Medir el grado de satisfación de los suscriptores en la prestación del servicio.</v>
      </c>
      <c r="B9" s="195"/>
      <c r="C9" s="195"/>
      <c r="D9" s="195"/>
      <c r="E9" s="17" t="s">
        <v>35</v>
      </c>
      <c r="F9" s="273" t="str">
        <f>'SET SP Tarquí'!$D18</f>
        <v xml:space="preserve">Número de PQR recibidas / número de suscriptores del servicio*100 </v>
      </c>
      <c r="G9" s="275"/>
      <c r="H9" s="14" t="str">
        <f>$O16</f>
        <v>&lt; 1%</v>
      </c>
      <c r="I9" s="37" t="str">
        <f>'SET SP Tarquí'!$E18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 t="str">
        <f t="shared" ref="C15:N15" si="0">$O$15</f>
        <v>&lt; 1%</v>
      </c>
      <c r="D15" s="125" t="str">
        <f t="shared" si="0"/>
        <v>&lt; 1%</v>
      </c>
      <c r="E15" s="125" t="str">
        <f t="shared" si="0"/>
        <v>&lt; 1%</v>
      </c>
      <c r="F15" s="125" t="str">
        <f t="shared" si="0"/>
        <v>&lt; 1%</v>
      </c>
      <c r="G15" s="125" t="str">
        <f t="shared" si="0"/>
        <v>&lt; 1%</v>
      </c>
      <c r="H15" s="125" t="str">
        <f t="shared" si="0"/>
        <v>&lt; 1%</v>
      </c>
      <c r="I15" s="125" t="str">
        <f t="shared" si="0"/>
        <v>&lt; 1%</v>
      </c>
      <c r="J15" s="125" t="str">
        <f t="shared" si="0"/>
        <v>&lt; 1%</v>
      </c>
      <c r="K15" s="125" t="str">
        <f t="shared" si="0"/>
        <v>&lt; 1%</v>
      </c>
      <c r="L15" s="125" t="str">
        <f t="shared" si="0"/>
        <v>&lt; 1%</v>
      </c>
      <c r="M15" s="125" t="str">
        <f t="shared" si="0"/>
        <v>&lt; 1%</v>
      </c>
      <c r="N15" s="125" t="str">
        <f t="shared" si="0"/>
        <v>&lt; 1%</v>
      </c>
      <c r="O15" s="131" t="str">
        <f>'SET SP Tarquí'!J18</f>
        <v>&lt; 1%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 t="str">
        <f t="shared" ref="C16:N16" si="1">$O$16</f>
        <v>&lt; 1%</v>
      </c>
      <c r="D16" s="125" t="str">
        <f t="shared" si="1"/>
        <v>&lt; 1%</v>
      </c>
      <c r="E16" s="125" t="str">
        <f t="shared" si="1"/>
        <v>&lt; 1%</v>
      </c>
      <c r="F16" s="125" t="str">
        <f t="shared" si="1"/>
        <v>&lt; 1%</v>
      </c>
      <c r="G16" s="125" t="str">
        <f t="shared" si="1"/>
        <v>&lt; 1%</v>
      </c>
      <c r="H16" s="125" t="str">
        <f t="shared" si="1"/>
        <v>&lt; 1%</v>
      </c>
      <c r="I16" s="125" t="str">
        <f t="shared" si="1"/>
        <v>&lt; 1%</v>
      </c>
      <c r="J16" s="125" t="str">
        <f t="shared" si="1"/>
        <v>&lt; 1%</v>
      </c>
      <c r="K16" s="125" t="str">
        <f t="shared" si="1"/>
        <v>&lt; 1%</v>
      </c>
      <c r="L16" s="125" t="str">
        <f t="shared" si="1"/>
        <v>&lt; 1%</v>
      </c>
      <c r="M16" s="125" t="str">
        <f t="shared" si="1"/>
        <v>&lt; 1%</v>
      </c>
      <c r="N16" s="125" t="str">
        <f t="shared" si="1"/>
        <v>&lt; 1%</v>
      </c>
      <c r="O16" s="131" t="str">
        <f>'SET SP Tarquí'!K18</f>
        <v>&lt; 1%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1.2055455093429777E-3</v>
      </c>
      <c r="D17" s="12">
        <f t="shared" si="2"/>
        <v>2.4009603841536613E-3</v>
      </c>
      <c r="E17" s="12">
        <f t="shared" si="2"/>
        <v>3.5885167464114833E-3</v>
      </c>
      <c r="F17" s="12">
        <f>IF((F19),F18/F19,"-")</f>
        <v>6.5789473684210523E-3</v>
      </c>
      <c r="G17" s="12">
        <f t="shared" ref="G17:O17" si="3">IF((G19),G18/G19,"-")</f>
        <v>2.3880597014925373E-3</v>
      </c>
      <c r="H17" s="12">
        <f t="shared" si="3"/>
        <v>5.9523809523809521E-3</v>
      </c>
      <c r="I17" s="12">
        <f t="shared" si="3"/>
        <v>2.9779630732578916E-3</v>
      </c>
      <c r="J17" s="12">
        <f t="shared" si="3"/>
        <v>4.154302670623145E-3</v>
      </c>
      <c r="K17" s="12">
        <f t="shared" si="3"/>
        <v>2.3668639053254438E-3</v>
      </c>
      <c r="L17" s="12">
        <f t="shared" si="3"/>
        <v>4.7281323877068557E-3</v>
      </c>
      <c r="M17" s="12">
        <f t="shared" si="3"/>
        <v>2.9463759575721863E-3</v>
      </c>
      <c r="N17" s="12">
        <f t="shared" si="3"/>
        <v>3.5356511490866236E-3</v>
      </c>
      <c r="O17" s="13">
        <f t="shared" si="3"/>
        <v>3.5707200952192026E-3</v>
      </c>
      <c r="V17" s="9"/>
      <c r="W17" s="10"/>
      <c r="X17" s="10"/>
    </row>
    <row r="18" spans="1:24" ht="15" customHeight="1" x14ac:dyDescent="0.25">
      <c r="A18" s="243" t="s">
        <v>37</v>
      </c>
      <c r="B18" s="40" t="s">
        <v>165</v>
      </c>
      <c r="C18" s="23">
        <f>+'TARQUI-18'!D40</f>
        <v>2</v>
      </c>
      <c r="D18" s="23">
        <f>+'TARQUI-18'!E40</f>
        <v>4</v>
      </c>
      <c r="E18" s="23">
        <f>+'TARQUI-18'!F40</f>
        <v>6</v>
      </c>
      <c r="F18" s="23">
        <f>+'TARQUI-18'!G40</f>
        <v>11</v>
      </c>
      <c r="G18" s="23">
        <f>+'TARQUI-18'!H40</f>
        <v>4</v>
      </c>
      <c r="H18" s="23">
        <f>+'TARQUI-18'!I40</f>
        <v>10</v>
      </c>
      <c r="I18" s="23">
        <f>+'TARQUI-18'!J40</f>
        <v>5</v>
      </c>
      <c r="J18" s="23">
        <f>+'TARQUI-18'!K40</f>
        <v>7</v>
      </c>
      <c r="K18" s="23">
        <f>+'TARQUI-18'!L40</f>
        <v>4</v>
      </c>
      <c r="L18" s="23">
        <f>+'TARQUI-18'!M40</f>
        <v>8</v>
      </c>
      <c r="M18" s="23">
        <f>+'TARQUI-18'!N40</f>
        <v>5</v>
      </c>
      <c r="N18" s="23">
        <f>+'TARQUI-18'!O40</f>
        <v>6</v>
      </c>
      <c r="O18" s="24">
        <f>SUM(C18:N18)</f>
        <v>72</v>
      </c>
      <c r="V18" s="9"/>
      <c r="W18" s="10"/>
      <c r="X18" s="10"/>
    </row>
    <row r="19" spans="1:24" ht="12.75" customHeight="1" x14ac:dyDescent="0.25">
      <c r="A19" s="243"/>
      <c r="B19" s="40" t="s">
        <v>166</v>
      </c>
      <c r="C19" s="23">
        <f>+'05'!C18</f>
        <v>1659</v>
      </c>
      <c r="D19" s="23">
        <f>+'05'!D18</f>
        <v>1666</v>
      </c>
      <c r="E19" s="23">
        <f>+'05'!E18</f>
        <v>1672</v>
      </c>
      <c r="F19" s="23">
        <f>+'05'!F18</f>
        <v>1672</v>
      </c>
      <c r="G19" s="23">
        <f>+'05'!G18</f>
        <v>1675</v>
      </c>
      <c r="H19" s="23">
        <f>+'05'!H18</f>
        <v>1680</v>
      </c>
      <c r="I19" s="23">
        <f>+'05'!I18</f>
        <v>1679</v>
      </c>
      <c r="J19" s="23">
        <f>+'05'!J18</f>
        <v>1685</v>
      </c>
      <c r="K19" s="23">
        <f>+'05'!K18</f>
        <v>1690</v>
      </c>
      <c r="L19" s="23">
        <f>+'05'!L18</f>
        <v>1692</v>
      </c>
      <c r="M19" s="23">
        <f>+'05'!M18</f>
        <v>1697</v>
      </c>
      <c r="N19" s="23">
        <f>+'05'!N18</f>
        <v>1697</v>
      </c>
      <c r="O19" s="24">
        <f>SUM(C19:N19)</f>
        <v>20164</v>
      </c>
      <c r="V19" s="9"/>
      <c r="W19" s="10"/>
      <c r="X19" s="10"/>
    </row>
    <row r="20" spans="1:24" ht="12.7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Tarquí'!$G18</f>
        <v>Entre 0 y 10%</v>
      </c>
      <c r="E22" s="235"/>
      <c r="F22" s="235"/>
      <c r="G22" s="236"/>
      <c r="H22" s="234" t="str">
        <f>'SET SP Tarquí'!$H18</f>
        <v>Entre 11% y el 20%</v>
      </c>
      <c r="I22" s="235"/>
      <c r="J22" s="235"/>
      <c r="K22" s="236"/>
      <c r="L22" s="234" t="str">
        <f>'SET SP Tarquí'!$I18</f>
        <v>Mayor al 21%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300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300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300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300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300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301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 t="s">
        <v>3</v>
      </c>
      <c r="O40" s="161"/>
    </row>
    <row r="41" spans="1:17" ht="15.75" thickBot="1" x14ac:dyDescent="0.3">
      <c r="A41" s="162" t="s">
        <v>302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5.25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60" t="s">
        <v>173</v>
      </c>
    </row>
    <row r="59" spans="17:17" x14ac:dyDescent="0.25">
      <c r="Q59" s="60" t="s">
        <v>174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42:O42"/>
    <mergeCell ref="A39:M39"/>
    <mergeCell ref="N39:O39"/>
    <mergeCell ref="A40:M40"/>
    <mergeCell ref="N40:O40"/>
    <mergeCell ref="A41:M41"/>
    <mergeCell ref="N41:O41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1"/>
  <sheetViews>
    <sheetView topLeftCell="A26" zoomScaleSheetLayoutView="72" workbookViewId="0">
      <selection activeCell="A33" sqref="A33:M33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7109375" style="3" customWidth="1"/>
    <col min="17" max="18" width="6.7109375" style="3" hidden="1" customWidth="1"/>
    <col min="19" max="19" width="6.71093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Tarquí'!$B19</f>
        <v>Disposición en Relleno Sanitario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Tarquí'!F19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Tarquí'!A19</f>
        <v>IN14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7" customHeight="1" thickBot="1" x14ac:dyDescent="0.3">
      <c r="A9" s="194" t="str">
        <f>'SET SP Tarquí'!$C19</f>
        <v>Disponer la totalidad de los residuos solidos recolectados en el sitio de disposición final.</v>
      </c>
      <c r="B9" s="195"/>
      <c r="C9" s="195"/>
      <c r="D9" s="195"/>
      <c r="E9" s="17" t="s">
        <v>35</v>
      </c>
      <c r="F9" s="273" t="str">
        <f>'SET SP Tarquí'!$D19</f>
        <v>(Residuos sólidos en relleno sanitario / Residuos sólidos producidos)     x 100    %</v>
      </c>
      <c r="G9" s="275"/>
      <c r="H9" s="14">
        <f>$O16</f>
        <v>1</v>
      </c>
      <c r="I9" s="37" t="str">
        <f>'SET SP Tarquí'!$E19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0.95</v>
      </c>
      <c r="D15" s="125">
        <f t="shared" si="0"/>
        <v>0.95</v>
      </c>
      <c r="E15" s="125">
        <f t="shared" si="0"/>
        <v>0.95</v>
      </c>
      <c r="F15" s="125">
        <f t="shared" si="0"/>
        <v>0.95</v>
      </c>
      <c r="G15" s="125">
        <f t="shared" si="0"/>
        <v>0.95</v>
      </c>
      <c r="H15" s="125">
        <f t="shared" si="0"/>
        <v>0.95</v>
      </c>
      <c r="I15" s="125">
        <f t="shared" si="0"/>
        <v>0.95</v>
      </c>
      <c r="J15" s="125">
        <f t="shared" si="0"/>
        <v>0.95</v>
      </c>
      <c r="K15" s="125">
        <f t="shared" si="0"/>
        <v>0.95</v>
      </c>
      <c r="L15" s="125">
        <f t="shared" si="0"/>
        <v>0.95</v>
      </c>
      <c r="M15" s="125">
        <f t="shared" si="0"/>
        <v>0.95</v>
      </c>
      <c r="N15" s="125">
        <f t="shared" si="0"/>
        <v>0.95</v>
      </c>
      <c r="O15" s="131">
        <f>'SET SP Tarquí'!J19</f>
        <v>0.95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1</v>
      </c>
      <c r="D16" s="125">
        <f t="shared" si="1"/>
        <v>1</v>
      </c>
      <c r="E16" s="125">
        <f t="shared" si="1"/>
        <v>1</v>
      </c>
      <c r="F16" s="125">
        <f t="shared" si="1"/>
        <v>1</v>
      </c>
      <c r="G16" s="125">
        <f t="shared" si="1"/>
        <v>1</v>
      </c>
      <c r="H16" s="125">
        <f t="shared" si="1"/>
        <v>1</v>
      </c>
      <c r="I16" s="125">
        <f t="shared" si="1"/>
        <v>1</v>
      </c>
      <c r="J16" s="125">
        <f t="shared" si="1"/>
        <v>1</v>
      </c>
      <c r="K16" s="125">
        <f t="shared" si="1"/>
        <v>1</v>
      </c>
      <c r="L16" s="125">
        <f t="shared" si="1"/>
        <v>1</v>
      </c>
      <c r="M16" s="125">
        <f t="shared" si="1"/>
        <v>1</v>
      </c>
      <c r="N16" s="125">
        <f t="shared" si="1"/>
        <v>1</v>
      </c>
      <c r="O16" s="131">
        <f>'SET SP Tarquí'!K19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74">
        <f>IF(ISNUMBER(C19),C18/C19,"-")</f>
        <v>0.96474209495382901</v>
      </c>
      <c r="D17" s="74">
        <f t="shared" ref="D17:N17" si="2">IF(ISNUMBER(D19),D18/D19,"-")</f>
        <v>0.96377875673029867</v>
      </c>
      <c r="E17" s="74">
        <f t="shared" si="2"/>
        <v>0.96381989338777363</v>
      </c>
      <c r="F17" s="74">
        <f t="shared" si="2"/>
        <v>0.96386775892334697</v>
      </c>
      <c r="G17" s="74">
        <f t="shared" si="2"/>
        <v>0.96391550948562477</v>
      </c>
      <c r="H17" s="74">
        <f t="shared" si="2"/>
        <v>0.96402594849616674</v>
      </c>
      <c r="I17" s="74">
        <f t="shared" si="2"/>
        <v>0.96404306470157841</v>
      </c>
      <c r="J17" s="74">
        <f t="shared" si="2"/>
        <v>0.96417030982702912</v>
      </c>
      <c r="K17" s="74">
        <f t="shared" si="2"/>
        <v>0.96429339642933953</v>
      </c>
      <c r="L17" s="74">
        <f t="shared" si="2"/>
        <v>0.96430719871666348</v>
      </c>
      <c r="M17" s="74">
        <f t="shared" si="2"/>
        <v>0.96440129449838197</v>
      </c>
      <c r="N17" s="74">
        <f t="shared" si="2"/>
        <v>0.96434074400176095</v>
      </c>
      <c r="O17" s="75">
        <f>IF(ISNUMBER(O19),O18/O19,"-")</f>
        <v>0.96416057751562656</v>
      </c>
      <c r="V17" s="9"/>
      <c r="W17" s="10"/>
      <c r="X17" s="10"/>
    </row>
    <row r="18" spans="1:24" ht="18" customHeight="1" x14ac:dyDescent="0.25">
      <c r="A18" s="243" t="s">
        <v>37</v>
      </c>
      <c r="B18" s="40" t="s">
        <v>145</v>
      </c>
      <c r="C18" s="4">
        <f>+'07'!C18</f>
        <v>103.43</v>
      </c>
      <c r="D18" s="4">
        <f>+'07'!D18</f>
        <v>78.760000000000005</v>
      </c>
      <c r="E18" s="4">
        <f>+'07'!E18</f>
        <v>84.98</v>
      </c>
      <c r="F18" s="4">
        <f>+'07'!F18</f>
        <v>65.89</v>
      </c>
      <c r="G18" s="4">
        <f>+'07'!G18</f>
        <v>98.57</v>
      </c>
      <c r="H18" s="4">
        <f>+'07'!H18</f>
        <v>98.08</v>
      </c>
      <c r="I18" s="4">
        <f>+'07'!I18</f>
        <v>92.23</v>
      </c>
      <c r="J18" s="4">
        <f>+'07'!J18</f>
        <v>101.45</v>
      </c>
      <c r="K18" s="4">
        <f>+'07'!K18</f>
        <v>89.66</v>
      </c>
      <c r="L18" s="4">
        <f>+'07'!L18</f>
        <v>96.18</v>
      </c>
      <c r="M18" s="4">
        <f>+'07'!M18</f>
        <v>98.34</v>
      </c>
      <c r="N18" s="4">
        <f>+'07'!N18</f>
        <v>87.62</v>
      </c>
      <c r="O18" s="19">
        <f>SUM(C18:N18)</f>
        <v>1095.19</v>
      </c>
      <c r="V18" s="9"/>
      <c r="W18" s="10"/>
      <c r="X18" s="10"/>
    </row>
    <row r="19" spans="1:24" ht="16.5" customHeight="1" x14ac:dyDescent="0.25">
      <c r="A19" s="243"/>
      <c r="B19" s="40" t="s">
        <v>139</v>
      </c>
      <c r="C19" s="4">
        <f>+'07'!C19</f>
        <v>107.21</v>
      </c>
      <c r="D19" s="4">
        <f>+'07'!D19</f>
        <v>81.72</v>
      </c>
      <c r="E19" s="4">
        <f>+'07'!E19</f>
        <v>88.17</v>
      </c>
      <c r="F19" s="4">
        <f>+'07'!F19</f>
        <v>68.36</v>
      </c>
      <c r="G19" s="4">
        <f>+'07'!G19</f>
        <v>102.26</v>
      </c>
      <c r="H19" s="4">
        <f>+'07'!H19</f>
        <v>101.74</v>
      </c>
      <c r="I19" s="4">
        <f>+'07'!I19</f>
        <v>95.67</v>
      </c>
      <c r="J19" s="4">
        <f>+'07'!J19</f>
        <v>105.22</v>
      </c>
      <c r="K19" s="4">
        <f>+'07'!K19</f>
        <v>92.98</v>
      </c>
      <c r="L19" s="4">
        <f>+'07'!L19</f>
        <v>99.74</v>
      </c>
      <c r="M19" s="4">
        <f>+'07'!M19</f>
        <v>101.97</v>
      </c>
      <c r="N19" s="4">
        <f>+'07'!N19</f>
        <v>90.86</v>
      </c>
      <c r="O19" s="19">
        <f>SUM(C19:N19)</f>
        <v>1135.8999999999999</v>
      </c>
      <c r="V19" s="9"/>
      <c r="W19" s="10"/>
      <c r="X19" s="10"/>
    </row>
    <row r="20" spans="1:24" ht="12.7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3.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Tarquí'!$G19</f>
        <v>Entre 91% y 100%</v>
      </c>
      <c r="E22" s="235"/>
      <c r="F22" s="235"/>
      <c r="G22" s="236"/>
      <c r="H22" s="234" t="str">
        <f>'SET SP Tarquí'!$H19</f>
        <v>Entre 71% y 90%</v>
      </c>
      <c r="I22" s="235"/>
      <c r="J22" s="235"/>
      <c r="K22" s="236"/>
      <c r="L22" s="234" t="str">
        <f>'SET SP Tarquí'!$I19</f>
        <v>Menor al 70%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303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303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303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303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303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303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1"/>
    </row>
    <row r="41" spans="1:17" ht="15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1"/>
    </row>
    <row r="42" spans="1:17" ht="15" x14ac:dyDescent="0.2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61"/>
    </row>
    <row r="43" spans="1:17" ht="15.75" thickBot="1" x14ac:dyDescent="0.3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4"/>
    </row>
    <row r="44" spans="1:17" ht="5.25" customHeight="1" x14ac:dyDescent="0.25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</row>
    <row r="46" spans="1:17" ht="14.25" x14ac:dyDescent="0.2">
      <c r="Q46" s="49" t="s">
        <v>81</v>
      </c>
    </row>
    <row r="47" spans="1:17" ht="14.25" x14ac:dyDescent="0.2">
      <c r="Q47" s="49" t="s">
        <v>82</v>
      </c>
    </row>
    <row r="48" spans="1:17" ht="14.25" x14ac:dyDescent="0.2">
      <c r="Q48" s="49" t="s">
        <v>83</v>
      </c>
    </row>
    <row r="49" spans="17:17" ht="14.25" x14ac:dyDescent="0.2">
      <c r="Q49" s="49" t="s">
        <v>84</v>
      </c>
    </row>
    <row r="50" spans="17:17" ht="14.25" x14ac:dyDescent="0.2">
      <c r="Q50" s="49" t="s">
        <v>85</v>
      </c>
    </row>
    <row r="51" spans="17:17" ht="14.25" x14ac:dyDescent="0.2">
      <c r="Q51" s="49" t="s">
        <v>86</v>
      </c>
    </row>
    <row r="52" spans="17:17" ht="14.25" x14ac:dyDescent="0.2">
      <c r="Q52" s="49" t="s">
        <v>87</v>
      </c>
    </row>
    <row r="53" spans="17:17" ht="14.25" x14ac:dyDescent="0.2">
      <c r="Q53" s="49" t="s">
        <v>88</v>
      </c>
    </row>
    <row r="54" spans="17:17" ht="14.25" x14ac:dyDescent="0.2">
      <c r="Q54" s="49" t="s">
        <v>89</v>
      </c>
    </row>
    <row r="55" spans="17:17" ht="14.25" x14ac:dyDescent="0.2">
      <c r="Q55" s="49" t="s">
        <v>90</v>
      </c>
    </row>
    <row r="56" spans="17:17" ht="14.25" x14ac:dyDescent="0.2">
      <c r="Q56" s="49" t="s">
        <v>91</v>
      </c>
    </row>
    <row r="57" spans="17:17" ht="14.25" x14ac:dyDescent="0.2">
      <c r="Q57" s="49" t="s">
        <v>92</v>
      </c>
    </row>
    <row r="58" spans="17:17" ht="14.25" x14ac:dyDescent="0.2">
      <c r="Q58" s="49" t="s">
        <v>93</v>
      </c>
    </row>
    <row r="60" spans="17:17" x14ac:dyDescent="0.25">
      <c r="Q60" s="11">
        <v>0.98</v>
      </c>
    </row>
    <row r="61" spans="17:17" x14ac:dyDescent="0.25">
      <c r="Q61" s="11">
        <v>1</v>
      </c>
    </row>
  </sheetData>
  <mergeCells count="78">
    <mergeCell ref="N38:O38"/>
    <mergeCell ref="A35:M35"/>
    <mergeCell ref="N35:O35"/>
    <mergeCell ref="A36:M36"/>
    <mergeCell ref="N36:O36"/>
    <mergeCell ref="A37:M37"/>
    <mergeCell ref="N37:O37"/>
    <mergeCell ref="A38:M38"/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44:O44"/>
    <mergeCell ref="A39:M39"/>
    <mergeCell ref="N39:O39"/>
    <mergeCell ref="A40:M40"/>
    <mergeCell ref="N40:O40"/>
    <mergeCell ref="A43:M43"/>
    <mergeCell ref="N43:O43"/>
    <mergeCell ref="A41:M41"/>
    <mergeCell ref="N41:O41"/>
    <mergeCell ref="A42:M42"/>
    <mergeCell ref="N42:O42"/>
  </mergeCells>
  <dataValidations count="1">
    <dataValidation type="list" allowBlank="1" showInputMessage="1" showErrorMessage="1" sqref="J9:O9">
      <formula1>$Q$46:$Q$58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showGridLines="0" tabSelected="1" topLeftCell="C23" workbookViewId="0">
      <selection activeCell="Q40" sqref="Q40"/>
    </sheetView>
  </sheetViews>
  <sheetFormatPr baseColWidth="10" defaultRowHeight="12.75" x14ac:dyDescent="0.2"/>
  <cols>
    <col min="1" max="1" width="3" style="79" customWidth="1"/>
    <col min="2" max="2" width="37" style="79" customWidth="1"/>
    <col min="3" max="3" width="10.42578125" style="79" customWidth="1"/>
    <col min="4" max="15" width="11.28515625" style="80" customWidth="1"/>
    <col min="16" max="18" width="11.42578125" style="69"/>
    <col min="19" max="16384" width="11.42578125" style="63"/>
  </cols>
  <sheetData>
    <row r="1" spans="1:18" x14ac:dyDescent="0.2">
      <c r="A1" s="279" t="s">
        <v>181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8" ht="23.25" x14ac:dyDescent="0.35">
      <c r="A2" s="280" t="s">
        <v>182</v>
      </c>
      <c r="B2" s="281"/>
      <c r="C2" s="282"/>
      <c r="D2" s="282"/>
      <c r="E2" s="279" t="s">
        <v>183</v>
      </c>
      <c r="F2" s="283"/>
      <c r="G2" s="284" t="s">
        <v>251</v>
      </c>
      <c r="H2" s="284"/>
      <c r="I2" s="284"/>
      <c r="J2" s="284"/>
      <c r="K2" s="284"/>
    </row>
    <row r="4" spans="1:18" ht="23.25" customHeight="1" x14ac:dyDescent="0.2">
      <c r="A4" s="276" t="s">
        <v>184</v>
      </c>
      <c r="B4" s="276"/>
      <c r="C4" s="81" t="s">
        <v>185</v>
      </c>
      <c r="D4" s="82">
        <v>43101</v>
      </c>
      <c r="E4" s="82">
        <f t="shared" ref="E4:O4" si="0">+D4+31</f>
        <v>43132</v>
      </c>
      <c r="F4" s="82">
        <f t="shared" si="0"/>
        <v>43163</v>
      </c>
      <c r="G4" s="82">
        <f t="shared" si="0"/>
        <v>43194</v>
      </c>
      <c r="H4" s="82">
        <f t="shared" si="0"/>
        <v>43225</v>
      </c>
      <c r="I4" s="82">
        <f t="shared" si="0"/>
        <v>43256</v>
      </c>
      <c r="J4" s="82">
        <f t="shared" si="0"/>
        <v>43287</v>
      </c>
      <c r="K4" s="82">
        <f t="shared" si="0"/>
        <v>43318</v>
      </c>
      <c r="L4" s="82">
        <f t="shared" si="0"/>
        <v>43349</v>
      </c>
      <c r="M4" s="82">
        <f t="shared" si="0"/>
        <v>43380</v>
      </c>
      <c r="N4" s="82">
        <f t="shared" si="0"/>
        <v>43411</v>
      </c>
      <c r="O4" s="82">
        <f t="shared" si="0"/>
        <v>43442</v>
      </c>
      <c r="P4" s="70"/>
      <c r="Q4" s="70"/>
      <c r="R4" s="70"/>
    </row>
    <row r="5" spans="1:18" x14ac:dyDescent="0.2">
      <c r="A5" s="83">
        <v>1</v>
      </c>
      <c r="B5" s="84" t="s">
        <v>186</v>
      </c>
      <c r="C5" s="85" t="s">
        <v>186</v>
      </c>
      <c r="D5" s="86">
        <v>1675</v>
      </c>
      <c r="E5" s="86">
        <v>1682</v>
      </c>
      <c r="F5" s="86">
        <v>1688</v>
      </c>
      <c r="G5" s="86">
        <v>1688</v>
      </c>
      <c r="H5" s="86">
        <v>1691</v>
      </c>
      <c r="I5" s="86">
        <v>1696</v>
      </c>
      <c r="J5" s="86">
        <v>1695</v>
      </c>
      <c r="K5" s="86">
        <v>1701</v>
      </c>
      <c r="L5" s="86">
        <v>1706</v>
      </c>
      <c r="M5" s="86">
        <v>1708</v>
      </c>
      <c r="N5" s="86">
        <v>1713</v>
      </c>
      <c r="O5" s="86">
        <v>1713</v>
      </c>
      <c r="P5" s="71"/>
      <c r="Q5" s="71"/>
      <c r="R5" s="71"/>
    </row>
    <row r="6" spans="1:18" x14ac:dyDescent="0.2">
      <c r="A6" s="87">
        <v>2</v>
      </c>
      <c r="B6" s="88" t="s">
        <v>187</v>
      </c>
      <c r="C6" s="89" t="s">
        <v>188</v>
      </c>
      <c r="D6" s="90">
        <v>1659</v>
      </c>
      <c r="E6" s="90">
        <v>1666</v>
      </c>
      <c r="F6" s="90">
        <v>1672</v>
      </c>
      <c r="G6" s="90">
        <v>1672</v>
      </c>
      <c r="H6" s="90">
        <v>1675</v>
      </c>
      <c r="I6" s="90">
        <v>1680</v>
      </c>
      <c r="J6" s="90">
        <v>1679</v>
      </c>
      <c r="K6" s="90">
        <v>1685</v>
      </c>
      <c r="L6" s="90">
        <v>1690</v>
      </c>
      <c r="M6" s="90">
        <v>1692</v>
      </c>
      <c r="N6" s="90">
        <v>1697</v>
      </c>
      <c r="O6" s="90">
        <v>1697</v>
      </c>
      <c r="P6" s="71"/>
      <c r="Q6" s="71"/>
      <c r="R6" s="71"/>
    </row>
    <row r="7" spans="1:18" x14ac:dyDescent="0.2">
      <c r="A7" s="83">
        <v>3</v>
      </c>
      <c r="B7" s="84" t="s">
        <v>189</v>
      </c>
      <c r="C7" s="85" t="s">
        <v>188</v>
      </c>
      <c r="D7" s="86">
        <v>1618</v>
      </c>
      <c r="E7" s="86">
        <v>1624</v>
      </c>
      <c r="F7" s="86">
        <v>1630</v>
      </c>
      <c r="G7" s="86">
        <v>1630</v>
      </c>
      <c r="H7" s="86">
        <v>1633</v>
      </c>
      <c r="I7" s="86">
        <v>1638</v>
      </c>
      <c r="J7" s="86">
        <v>1637</v>
      </c>
      <c r="K7" s="86">
        <v>1643</v>
      </c>
      <c r="L7" s="86">
        <v>1647</v>
      </c>
      <c r="M7" s="86">
        <v>1649</v>
      </c>
      <c r="N7" s="86">
        <v>1654</v>
      </c>
      <c r="O7" s="86">
        <v>1654</v>
      </c>
      <c r="P7" s="71"/>
      <c r="Q7" s="71"/>
      <c r="R7" s="71"/>
    </row>
    <row r="8" spans="1:18" x14ac:dyDescent="0.2">
      <c r="A8" s="87">
        <v>4</v>
      </c>
      <c r="B8" s="88" t="s">
        <v>190</v>
      </c>
      <c r="C8" s="89" t="s">
        <v>188</v>
      </c>
      <c r="D8" s="90">
        <v>1616</v>
      </c>
      <c r="E8" s="90">
        <v>1621</v>
      </c>
      <c r="F8" s="90">
        <v>1627</v>
      </c>
      <c r="G8" s="90">
        <v>1627</v>
      </c>
      <c r="H8" s="90">
        <v>1630</v>
      </c>
      <c r="I8" s="90">
        <v>1635</v>
      </c>
      <c r="J8" s="90">
        <v>1634</v>
      </c>
      <c r="K8" s="90">
        <v>1640</v>
      </c>
      <c r="L8" s="90">
        <v>1645</v>
      </c>
      <c r="M8" s="90">
        <v>1647</v>
      </c>
      <c r="N8" s="90">
        <v>1652</v>
      </c>
      <c r="O8" s="90">
        <v>1652</v>
      </c>
      <c r="P8" s="71"/>
      <c r="Q8" s="71"/>
      <c r="R8" s="71"/>
    </row>
    <row r="9" spans="1:18" ht="11.25" customHeight="1" x14ac:dyDescent="0.25">
      <c r="A9" s="91">
        <v>5</v>
      </c>
      <c r="B9" s="92" t="s">
        <v>191</v>
      </c>
      <c r="C9" s="93" t="s">
        <v>192</v>
      </c>
      <c r="D9" s="133">
        <v>45632</v>
      </c>
      <c r="E9" s="133">
        <v>40985</v>
      </c>
      <c r="F9" s="133">
        <v>45684</v>
      </c>
      <c r="G9" s="133">
        <v>44220</v>
      </c>
      <c r="H9" s="133">
        <v>43792</v>
      </c>
      <c r="I9" s="133">
        <v>43493</v>
      </c>
      <c r="J9" s="134">
        <v>45443</v>
      </c>
      <c r="K9" s="134">
        <v>45721</v>
      </c>
      <c r="L9" s="135">
        <v>43538.012000000002</v>
      </c>
      <c r="M9" s="135">
        <v>44082.493000000002</v>
      </c>
      <c r="N9" s="135">
        <v>43794.792000000001</v>
      </c>
      <c r="O9" s="135">
        <v>47856</v>
      </c>
      <c r="P9" s="72"/>
      <c r="Q9" s="72"/>
      <c r="R9" s="72"/>
    </row>
    <row r="10" spans="1:18" x14ac:dyDescent="0.2">
      <c r="A10" s="94">
        <v>6</v>
      </c>
      <c r="B10" s="95" t="s">
        <v>193</v>
      </c>
      <c r="C10" s="96" t="s">
        <v>192</v>
      </c>
      <c r="D10" s="97">
        <v>33739</v>
      </c>
      <c r="E10" s="97">
        <v>26363</v>
      </c>
      <c r="F10" s="97">
        <v>29513</v>
      </c>
      <c r="G10" s="97">
        <v>27323</v>
      </c>
      <c r="H10" s="97">
        <v>25924</v>
      </c>
      <c r="I10" s="97">
        <v>31588</v>
      </c>
      <c r="J10" s="97">
        <v>28384</v>
      </c>
      <c r="K10" s="97">
        <v>29373</v>
      </c>
      <c r="L10" s="97">
        <v>31179</v>
      </c>
      <c r="M10" s="97">
        <v>28020</v>
      </c>
      <c r="N10" s="97">
        <v>31163</v>
      </c>
      <c r="O10" s="97">
        <v>24795</v>
      </c>
      <c r="P10" s="71"/>
      <c r="Q10" s="71"/>
      <c r="R10" s="71"/>
    </row>
    <row r="11" spans="1:18" ht="12.75" customHeight="1" x14ac:dyDescent="0.2">
      <c r="A11" s="83">
        <v>7</v>
      </c>
      <c r="B11" s="84" t="s">
        <v>265</v>
      </c>
      <c r="C11" s="85" t="s">
        <v>194</v>
      </c>
      <c r="D11" s="86">
        <v>32178</v>
      </c>
      <c r="E11" s="86">
        <v>25089</v>
      </c>
      <c r="F11" s="86">
        <v>28338</v>
      </c>
      <c r="G11" s="86">
        <v>26278</v>
      </c>
      <c r="H11" s="86">
        <v>24810</v>
      </c>
      <c r="I11" s="86">
        <v>30069</v>
      </c>
      <c r="J11" s="86">
        <v>27132</v>
      </c>
      <c r="K11" s="98">
        <v>28305</v>
      </c>
      <c r="L11" s="98">
        <v>30052</v>
      </c>
      <c r="M11" s="98">
        <v>27009</v>
      </c>
      <c r="N11" s="98">
        <v>30168</v>
      </c>
      <c r="O11" s="98">
        <v>23801</v>
      </c>
      <c r="P11" s="73"/>
      <c r="Q11" s="73"/>
      <c r="R11" s="73"/>
    </row>
    <row r="12" spans="1:18" ht="12.75" hidden="1" customHeight="1" x14ac:dyDescent="0.2">
      <c r="A12" s="94">
        <v>8</v>
      </c>
      <c r="B12" s="95" t="s">
        <v>195</v>
      </c>
      <c r="C12" s="96" t="s">
        <v>194</v>
      </c>
      <c r="D12" s="97"/>
      <c r="E12" s="97"/>
      <c r="F12" s="97"/>
      <c r="G12" s="97"/>
      <c r="H12" s="97"/>
      <c r="I12" s="97"/>
      <c r="J12" s="97"/>
      <c r="K12" s="99"/>
      <c r="L12" s="99"/>
      <c r="M12" s="99"/>
      <c r="N12" s="99"/>
      <c r="O12" s="99"/>
      <c r="P12" s="71"/>
      <c r="Q12" s="73"/>
      <c r="R12" s="73"/>
    </row>
    <row r="13" spans="1:18" ht="12.75" hidden="1" customHeight="1" x14ac:dyDescent="0.2">
      <c r="A13" s="83">
        <v>9</v>
      </c>
      <c r="B13" s="84" t="s">
        <v>196</v>
      </c>
      <c r="C13" s="85" t="s">
        <v>194</v>
      </c>
      <c r="D13" s="86"/>
      <c r="E13" s="86"/>
      <c r="F13" s="86"/>
      <c r="G13" s="86"/>
      <c r="H13" s="86"/>
      <c r="I13" s="86"/>
      <c r="J13" s="86"/>
      <c r="K13" s="98"/>
      <c r="L13" s="98"/>
      <c r="M13" s="98"/>
      <c r="N13" s="98"/>
      <c r="O13" s="98"/>
      <c r="P13" s="73"/>
      <c r="Q13" s="73"/>
      <c r="R13" s="73"/>
    </row>
    <row r="14" spans="1:18" x14ac:dyDescent="0.2">
      <c r="A14" s="94">
        <v>10</v>
      </c>
      <c r="B14" s="95" t="s">
        <v>197</v>
      </c>
      <c r="C14" s="96" t="s">
        <v>194</v>
      </c>
      <c r="D14" s="97">
        <f>SUM(1964842+7905856+113379+146250-70101+31500+70816+61968+1145)</f>
        <v>10225655</v>
      </c>
      <c r="E14" s="97">
        <f>SUM(1973142+5634502+117236+468750+210000+154920+1278)</f>
        <v>8559828</v>
      </c>
      <c r="F14" s="97">
        <f>SUM(2047415+6823352+145972+918750-41058-66140+273000-18952+460)</f>
        <v>10082799</v>
      </c>
      <c r="G14" s="97">
        <f>SUM(2047415+6156926+125623+833030-8420+10500+72296+1022)</f>
        <v>9238392</v>
      </c>
      <c r="H14" s="97">
        <f>SUM(2051705+5673821+155941+2199440+108500+17704+10328-190)</f>
        <v>10217249</v>
      </c>
      <c r="I14" s="97">
        <f>SUM(2057711+7487764+105240+1996460+91000+154920+654)</f>
        <v>11893749</v>
      </c>
      <c r="J14" s="97">
        <f>SUM(2052849+6529251+115373+1735920-31840+154000+72296+741)</f>
        <v>10628590</v>
      </c>
      <c r="K14" s="97">
        <f>SUM(2061429+6730438+106390+731510+308000+8852+41312+807)</f>
        <v>9988738</v>
      </c>
      <c r="L14" s="97">
        <f>SUM(2065719+7286045+118166+449190-6707+203000+51640+1062)</f>
        <v>10168115</v>
      </c>
      <c r="M14" s="97">
        <f>SUM(2068293+6263362+117193+3641190+140000+51640+625)</f>
        <v>12282303</v>
      </c>
      <c r="N14" s="97">
        <f>SUM(2076301+7178625+134462+2867190+308000+103280-267)</f>
        <v>12667591</v>
      </c>
      <c r="O14" s="97">
        <f>SUM(2076301+5251498+150505+327250-19551+41312+450)</f>
        <v>7827765</v>
      </c>
      <c r="P14" s="71"/>
      <c r="Q14" s="71"/>
      <c r="R14" s="71"/>
    </row>
    <row r="15" spans="1:18" x14ac:dyDescent="0.2">
      <c r="A15" s="83">
        <v>11</v>
      </c>
      <c r="B15" s="84" t="s">
        <v>198</v>
      </c>
      <c r="C15" s="85" t="s">
        <v>194</v>
      </c>
      <c r="D15" s="86">
        <f>SUM(1667019+6758225+61358+183750+48000+35408+20656+840)</f>
        <v>8775256</v>
      </c>
      <c r="E15" s="86">
        <f>SUM(5900+1496601+3991603+39738+450000+210000+51640+1078)</f>
        <v>6246560</v>
      </c>
      <c r="F15" s="86">
        <f>SUM(1852697+6235354+23057+843750+147000+10328+337)</f>
        <v>9112523</v>
      </c>
      <c r="G15" s="86">
        <f>SUM(12100+1645881+5055431+54340+631690+10500+51640+841)</f>
        <v>7462423</v>
      </c>
      <c r="H15" s="86">
        <f>SUM(1707224+4703740+107541+1840000+24500+17704+10328-337)</f>
        <v>8410700</v>
      </c>
      <c r="I15" s="86">
        <f>SUM(17400+1779072+6576734+58672+1979720+63000+72296+739)</f>
        <v>10547633</v>
      </c>
      <c r="J15" s="86">
        <f>SUM(1751268+5664613+67244+1524650+105000+51640-29)</f>
        <v>9164386</v>
      </c>
      <c r="K15" s="86">
        <f>SUM(1657494+5139337+52666+616010+280000+8852+30984+427)</f>
        <v>7785770</v>
      </c>
      <c r="L15" s="86">
        <f>SUM(1819620+6439145+81258+372190+161000+30984+998)</f>
        <v>8905195</v>
      </c>
      <c r="M15" s="86">
        <f>SUM(1699934+4979237+76840+3288428+77000+51640+307)</f>
        <v>10173386</v>
      </c>
      <c r="N15" s="86">
        <f>SUM(1667042+5519965+91537+1991823+175000+61968-369)</f>
        <v>9506966</v>
      </c>
      <c r="O15" s="86">
        <f>SUM(35850+1753274+4429201+103847+327250+30984-106)</f>
        <v>6680300</v>
      </c>
      <c r="P15" s="71"/>
      <c r="Q15" s="71"/>
      <c r="R15" s="71"/>
    </row>
    <row r="16" spans="1:18" x14ac:dyDescent="0.2">
      <c r="A16" s="94">
        <v>12</v>
      </c>
      <c r="B16" s="95" t="s">
        <v>199</v>
      </c>
      <c r="C16" s="96" t="s">
        <v>194</v>
      </c>
      <c r="D16" s="97">
        <f>SUM(1108194+6193195+21000)</f>
        <v>7322389</v>
      </c>
      <c r="E16" s="97">
        <f>SUM(1112613+4375352+140000)</f>
        <v>5627965</v>
      </c>
      <c r="F16" s="97">
        <f>SUM(1154000+5385194+182000)</f>
        <v>6721194</v>
      </c>
      <c r="G16" s="97">
        <f>SUM(1154000+4863511-7054+7000)</f>
        <v>6017457</v>
      </c>
      <c r="H16" s="97">
        <f>SUM(1156537+4446356+72350)</f>
        <v>5675243</v>
      </c>
      <c r="I16" s="97">
        <f>SUM(1160088+5847526+60750)</f>
        <v>7068364</v>
      </c>
      <c r="J16" s="97">
        <f>SUM(1157213+5124067-37062+102750)</f>
        <v>6346968</v>
      </c>
      <c r="K16" s="97">
        <f>SUM(1162287+5349936+205400)</f>
        <v>6717623</v>
      </c>
      <c r="L16" s="97">
        <f>SUM(1163807+5800688-5619+107400)</f>
        <v>7066276</v>
      </c>
      <c r="M16" s="97">
        <f>SUM(1165329+4977939+93400)</f>
        <v>6236668</v>
      </c>
      <c r="N16" s="97">
        <f>SUM(1169455+5738179+205400)</f>
        <v>7113034</v>
      </c>
      <c r="O16" s="97">
        <f>SUM(1169455+4127468-16379)</f>
        <v>5280544</v>
      </c>
      <c r="P16" s="71"/>
      <c r="Q16" s="71"/>
      <c r="R16" s="71"/>
    </row>
    <row r="17" spans="1:18" x14ac:dyDescent="0.2">
      <c r="A17" s="83">
        <v>13</v>
      </c>
      <c r="B17" s="84" t="s">
        <v>200</v>
      </c>
      <c r="C17" s="85" t="s">
        <v>194</v>
      </c>
      <c r="D17" s="86">
        <f>SUM(943308+5285786+35000)</f>
        <v>6264094</v>
      </c>
      <c r="E17" s="86">
        <f>SUM(844801+3118331+140000)</f>
        <v>4103132</v>
      </c>
      <c r="F17" s="86">
        <f>SUM(1038896+4917396+98000)</f>
        <v>6054292</v>
      </c>
      <c r="G17" s="86">
        <f>SUM(932525+3959745+7000)</f>
        <v>4899270</v>
      </c>
      <c r="H17" s="86">
        <f>SUM(962370+3679033+16350)</f>
        <v>4657753</v>
      </c>
      <c r="I17" s="86">
        <f>SUM(1005868+5159586+42050)</f>
        <v>6207504</v>
      </c>
      <c r="J17" s="86">
        <f>SUM(987662+4454164+70050)</f>
        <v>5511876</v>
      </c>
      <c r="K17" s="86">
        <f>SUM(932154+4086753+186700)</f>
        <v>5205607</v>
      </c>
      <c r="L17" s="86">
        <f>SUM(1026747+5142375+107400)</f>
        <v>6276522</v>
      </c>
      <c r="M17" s="86">
        <f>SUM(957212+3992944+51400)</f>
        <v>5001556</v>
      </c>
      <c r="N17" s="86">
        <f>SUM(945885+4488958+116700)</f>
        <v>5551543</v>
      </c>
      <c r="O17" s="86">
        <f>SUM(984816+3466935)</f>
        <v>4451751</v>
      </c>
      <c r="P17" s="71"/>
      <c r="Q17" s="71"/>
      <c r="R17" s="71"/>
    </row>
    <row r="18" spans="1:18" x14ac:dyDescent="0.2">
      <c r="A18" s="94">
        <v>14</v>
      </c>
      <c r="B18" s="95" t="s">
        <v>201</v>
      </c>
      <c r="C18" s="96" t="s">
        <v>194</v>
      </c>
      <c r="D18" s="97">
        <f>7798147-106391</f>
        <v>7691756</v>
      </c>
      <c r="E18" s="97">
        <v>7817107</v>
      </c>
      <c r="F18" s="97">
        <v>8252412</v>
      </c>
      <c r="G18" s="97">
        <v>8253317</v>
      </c>
      <c r="H18" s="97">
        <v>8270825</v>
      </c>
      <c r="I18" s="97">
        <v>8292260</v>
      </c>
      <c r="J18" s="97">
        <v>8235062</v>
      </c>
      <c r="K18" s="97">
        <v>8268268</v>
      </c>
      <c r="L18" s="97">
        <v>8283968</v>
      </c>
      <c r="M18" s="97">
        <v>8294835</v>
      </c>
      <c r="N18" s="97">
        <v>8341408</v>
      </c>
      <c r="O18" s="97">
        <v>8341408</v>
      </c>
      <c r="P18" s="71"/>
      <c r="Q18" s="71"/>
      <c r="R18" s="71"/>
    </row>
    <row r="19" spans="1:18" s="66" customFormat="1" x14ac:dyDescent="0.2">
      <c r="A19" s="91">
        <v>15</v>
      </c>
      <c r="B19" s="92" t="s">
        <v>202</v>
      </c>
      <c r="C19" s="93" t="s">
        <v>194</v>
      </c>
      <c r="D19" s="100">
        <v>6649551</v>
      </c>
      <c r="E19" s="100">
        <v>5587638</v>
      </c>
      <c r="F19" s="100">
        <v>7844429</v>
      </c>
      <c r="G19" s="100">
        <v>6668200</v>
      </c>
      <c r="H19" s="100">
        <v>6693847</v>
      </c>
      <c r="I19" s="100">
        <v>7581374</v>
      </c>
      <c r="J19" s="100">
        <v>7095128</v>
      </c>
      <c r="K19" s="100">
        <v>6695689</v>
      </c>
      <c r="L19" s="100">
        <v>7196433</v>
      </c>
      <c r="M19" s="100">
        <v>6689214</v>
      </c>
      <c r="N19" s="100">
        <v>6730196</v>
      </c>
      <c r="O19" s="100">
        <v>7055323</v>
      </c>
      <c r="P19" s="71"/>
      <c r="Q19" s="71"/>
      <c r="R19" s="71"/>
    </row>
    <row r="20" spans="1:18" s="66" customFormat="1" x14ac:dyDescent="0.2">
      <c r="A20" s="94">
        <v>16</v>
      </c>
      <c r="B20" s="95" t="s">
        <v>203</v>
      </c>
      <c r="C20" s="96"/>
      <c r="D20" s="97">
        <f>SUM(855026+1608080+1172736+125165-55000+15000+216200+142888+8624+44800-2550+885)</f>
        <v>4131854</v>
      </c>
      <c r="E20" s="97">
        <f>SUM(864556+1728905+1077804+50165+15000+174200+35408+163544+8624+16800-72500+1202)</f>
        <v>4063708</v>
      </c>
      <c r="F20" s="97">
        <f>SUM(1060542+2037321+1148087+68915+15000+174200+8852+225512+8624+16800-22950+1380)</f>
        <v>4742283</v>
      </c>
      <c r="G20" s="97">
        <f>SUM(763200+1720207+1122270+125165+15000+300200+185904+8624+96840-10600+1032)</f>
        <v>4327842</v>
      </c>
      <c r="H20" s="97">
        <f>SUM(932726+2295427+1150196+251505+15000+208915+185904+8624-29150+879)</f>
        <v>5020026</v>
      </c>
      <c r="I20" s="97">
        <f>SUM(766762+1179843+1151878+306925+15000+258200+113608+8624+56000-18550+715)</f>
        <v>3839005</v>
      </c>
      <c r="J20" s="97">
        <f>SUM(798126+1484252+1178048+236845+15000+202200+185904+8624+18700-151017+476)</f>
        <v>3977158</v>
      </c>
      <c r="K20" s="97">
        <f>SUM(775106+1223074+1223895+261435+15000+223200+165248+8624+32700-17400+1366)</f>
        <v>3912248</v>
      </c>
      <c r="L20" s="97">
        <f>SUM(793010+1591735+1272307+165665+15000+202200+134264+8624+18700-21774+992)</f>
        <v>4180723</v>
      </c>
      <c r="M20" s="97">
        <f>SUM(817385+1500393+1116034+117284-6707+15000+216200+144592+8624-43795+673)</f>
        <v>3885683</v>
      </c>
      <c r="N20" s="97">
        <f>SUM(887958+1735352+1130825+358786+15000+232254+134264+8624+42000-28672+688)</f>
        <v>4517079</v>
      </c>
      <c r="O20" s="97">
        <f>SUM(886579+1982521+1174924+919891+15000+282000+147880+8624+88700-20447+530)</f>
        <v>5486202</v>
      </c>
      <c r="P20" s="71"/>
      <c r="Q20" s="71"/>
      <c r="R20" s="71"/>
    </row>
    <row r="21" spans="1:18" s="66" customFormat="1" x14ac:dyDescent="0.2">
      <c r="A21" s="91">
        <v>17</v>
      </c>
      <c r="B21" s="92" t="s">
        <v>204</v>
      </c>
      <c r="C21" s="93"/>
      <c r="D21" s="100">
        <f>SUM(276673+980418+76852+75000-55000+42000+20656-2550+110)</f>
        <v>1414159</v>
      </c>
      <c r="E21" s="100">
        <f>SUM(199766+719586+1839+26556+30984-72500+326)</f>
        <v>906557</v>
      </c>
      <c r="F21" s="100">
        <f>SUM(523353+1443911+88314+18750+8852+20656-22950+768)</f>
        <v>2081654</v>
      </c>
      <c r="G21" s="100">
        <f>SUM(253374+656584+43851+75000+91285+20656+472)</f>
        <v>1141222</v>
      </c>
      <c r="H21" s="100">
        <f>SUM(463827+1901881+46718+201340+34715+72296+384)</f>
        <v>2721161</v>
      </c>
      <c r="I21" s="100">
        <f>SUM(297216+797348+20995+240840+84000+10328-6550+245)</f>
        <v>1444422</v>
      </c>
      <c r="J21" s="100">
        <f>SUM(320025+1071835+2282+186680+28000+41312-133617-21)</f>
        <v>1516496</v>
      </c>
      <c r="K21" s="100">
        <f>SUM(275093+771997+983+211270+49000+41312+732)</f>
        <v>1350387</v>
      </c>
      <c r="L21" s="100">
        <f>SUM(305951+1310698+196705+125381+28000+10328+603)</f>
        <v>1977666</v>
      </c>
      <c r="M21" s="100">
        <f>SUM(326099+1133961+26716+111260+46946+10328+291)</f>
        <v>1655601</v>
      </c>
      <c r="N21" s="100">
        <f>SUM(399111+1385634+4246+314262+83254+27696-1572+457)</f>
        <v>2213088</v>
      </c>
      <c r="O21" s="100">
        <f>SUM(410690+1602162+7427+836867+133000+36943+196)</f>
        <v>3027285</v>
      </c>
      <c r="P21" s="71"/>
      <c r="Q21" s="71"/>
      <c r="R21" s="71"/>
    </row>
    <row r="22" spans="1:18" s="66" customFormat="1" x14ac:dyDescent="0.2">
      <c r="A22" s="94">
        <v>18</v>
      </c>
      <c r="B22" s="95" t="s">
        <v>205</v>
      </c>
      <c r="C22" s="96"/>
      <c r="D22" s="97">
        <f>SUM(371116+997979)</f>
        <v>1369095</v>
      </c>
      <c r="E22" s="97">
        <f>SUM(361620+1213543)</f>
        <v>1575163</v>
      </c>
      <c r="F22" s="97">
        <f>SUM(480084+1441977)</f>
        <v>1922061</v>
      </c>
      <c r="G22" s="97">
        <f>SUM(390745+1324337)</f>
        <v>1715082</v>
      </c>
      <c r="H22" s="97">
        <f>SUM(469661+1687955)</f>
        <v>2157616</v>
      </c>
      <c r="I22" s="97">
        <f>SUM(377518+839075)</f>
        <v>1216593</v>
      </c>
      <c r="J22" s="97">
        <f>SUM(1059408+394525)</f>
        <v>1453933</v>
      </c>
      <c r="K22" s="97">
        <f>SUM(380941+877897)</f>
        <v>1258838</v>
      </c>
      <c r="L22" s="97">
        <f>SUM(396098+1174679)</f>
        <v>1570777</v>
      </c>
      <c r="M22" s="97">
        <f>SUM(407393+1114897-5619)</f>
        <v>1516671</v>
      </c>
      <c r="N22" s="97">
        <f>SUM(446850+1264332)</f>
        <v>1711182</v>
      </c>
      <c r="O22" s="97">
        <f>SUM(433832+1415317)</f>
        <v>1849149</v>
      </c>
      <c r="P22" s="71"/>
      <c r="Q22" s="71"/>
      <c r="R22" s="71"/>
    </row>
    <row r="23" spans="1:18" s="66" customFormat="1" x14ac:dyDescent="0.2">
      <c r="A23" s="91">
        <v>19</v>
      </c>
      <c r="B23" s="92" t="s">
        <v>206</v>
      </c>
      <c r="C23" s="93"/>
      <c r="D23" s="100">
        <f>SUM(167508+652986+28000)</f>
        <v>848494</v>
      </c>
      <c r="E23" s="100">
        <f>SUM(106461+547950)</f>
        <v>654411</v>
      </c>
      <c r="F23" s="100">
        <f>SUM(241474+1037017+3944)</f>
        <v>1282435</v>
      </c>
      <c r="G23" s="100">
        <f>SUM(155695+607032+96840)</f>
        <v>859567</v>
      </c>
      <c r="H23" s="100">
        <f>SUM(258751+1462236)</f>
        <v>1720987</v>
      </c>
      <c r="I23" s="100">
        <f>SUM(167088+628290+56000)</f>
        <v>851378</v>
      </c>
      <c r="J23" s="100">
        <f>SUM(180430+841889+18700)</f>
        <v>1041019</v>
      </c>
      <c r="K23" s="100">
        <f>SUM(150749+589082+32700)</f>
        <v>772531</v>
      </c>
      <c r="L23" s="100">
        <f>SUM(174423+1031082+18700)</f>
        <v>1224205</v>
      </c>
      <c r="M23" s="100">
        <f>SUM(182356+903654)</f>
        <v>1086010</v>
      </c>
      <c r="N23" s="100">
        <f>SUM(235574+1128214+42000)</f>
        <v>1405788</v>
      </c>
      <c r="O23" s="100">
        <f>SUM(219611+1192341+88700)</f>
        <v>1500652</v>
      </c>
      <c r="P23" s="71"/>
      <c r="Q23" s="71"/>
      <c r="R23" s="71"/>
    </row>
    <row r="24" spans="1:18" s="66" customFormat="1" x14ac:dyDescent="0.2">
      <c r="A24" s="94">
        <v>20</v>
      </c>
      <c r="B24" s="95" t="s">
        <v>207</v>
      </c>
      <c r="C24" s="96"/>
      <c r="D24" s="97">
        <v>2365401</v>
      </c>
      <c r="E24" s="97">
        <v>2287729</v>
      </c>
      <c r="F24" s="97">
        <v>3077951</v>
      </c>
      <c r="G24" s="97">
        <v>2484426</v>
      </c>
      <c r="H24" s="97">
        <v>3154474</v>
      </c>
      <c r="I24" s="97">
        <v>2301585</v>
      </c>
      <c r="J24" s="97">
        <v>2412115</v>
      </c>
      <c r="K24" s="97">
        <v>2320590</v>
      </c>
      <c r="L24" s="97">
        <v>2479855</v>
      </c>
      <c r="M24" s="97">
        <v>2597710</v>
      </c>
      <c r="N24" s="97">
        <v>2819309</v>
      </c>
      <c r="O24" s="97">
        <v>2709802</v>
      </c>
      <c r="P24" s="71"/>
      <c r="Q24" s="71"/>
      <c r="R24" s="71"/>
    </row>
    <row r="25" spans="1:18" s="66" customFormat="1" x14ac:dyDescent="0.2">
      <c r="A25" s="91">
        <v>21</v>
      </c>
      <c r="B25" s="92" t="s">
        <v>208</v>
      </c>
      <c r="C25" s="93"/>
      <c r="D25" s="100">
        <v>1075546</v>
      </c>
      <c r="E25" s="100">
        <v>713407</v>
      </c>
      <c r="F25" s="100">
        <v>1687667</v>
      </c>
      <c r="G25" s="100">
        <v>1000818</v>
      </c>
      <c r="H25" s="100">
        <v>1953452</v>
      </c>
      <c r="I25" s="100">
        <v>1139489</v>
      </c>
      <c r="J25" s="100">
        <v>1197345</v>
      </c>
      <c r="K25" s="100">
        <v>986316</v>
      </c>
      <c r="L25" s="100">
        <v>1315729</v>
      </c>
      <c r="M25" s="100">
        <v>1488983</v>
      </c>
      <c r="N25" s="100">
        <v>1713969</v>
      </c>
      <c r="O25" s="100">
        <v>1586039</v>
      </c>
      <c r="P25" s="71"/>
      <c r="Q25" s="71"/>
      <c r="R25" s="71"/>
    </row>
    <row r="26" spans="1:18" s="66" customFormat="1" x14ac:dyDescent="0.2">
      <c r="A26" s="94">
        <v>22</v>
      </c>
      <c r="B26" s="95" t="s">
        <v>209</v>
      </c>
      <c r="C26" s="96"/>
      <c r="D26" s="101">
        <f>D14+D20</f>
        <v>14357509</v>
      </c>
      <c r="E26" s="101">
        <f>E14+E20</f>
        <v>12623536</v>
      </c>
      <c r="F26" s="101">
        <f>F14+F20</f>
        <v>14825082</v>
      </c>
      <c r="G26" s="101">
        <f t="shared" ref="G26:J31" si="1">G14+G20</f>
        <v>13566234</v>
      </c>
      <c r="H26" s="101">
        <f t="shared" si="1"/>
        <v>15237275</v>
      </c>
      <c r="I26" s="101">
        <f t="shared" si="1"/>
        <v>15732754</v>
      </c>
      <c r="J26" s="101">
        <f t="shared" si="1"/>
        <v>14605748</v>
      </c>
      <c r="K26" s="101">
        <f t="shared" ref="K26:O31" si="2">+K14+K20</f>
        <v>13900986</v>
      </c>
      <c r="L26" s="101">
        <f t="shared" si="2"/>
        <v>14348838</v>
      </c>
      <c r="M26" s="101">
        <f t="shared" si="2"/>
        <v>16167986</v>
      </c>
      <c r="N26" s="101">
        <f t="shared" si="2"/>
        <v>17184670</v>
      </c>
      <c r="O26" s="101">
        <f t="shared" si="2"/>
        <v>13313967</v>
      </c>
      <c r="P26" s="71"/>
      <c r="Q26" s="71"/>
      <c r="R26" s="71"/>
    </row>
    <row r="27" spans="1:18" s="66" customFormat="1" x14ac:dyDescent="0.2">
      <c r="A27" s="91">
        <v>23</v>
      </c>
      <c r="B27" s="92" t="s">
        <v>210</v>
      </c>
      <c r="C27" s="93"/>
      <c r="D27" s="101">
        <f t="shared" ref="D27:E31" si="3">D15+D21</f>
        <v>10189415</v>
      </c>
      <c r="E27" s="101">
        <f t="shared" si="3"/>
        <v>7153117</v>
      </c>
      <c r="F27" s="101">
        <f t="shared" ref="F27" si="4">F15+F21</f>
        <v>11194177</v>
      </c>
      <c r="G27" s="101">
        <f t="shared" si="1"/>
        <v>8603645</v>
      </c>
      <c r="H27" s="101">
        <f t="shared" si="1"/>
        <v>11131861</v>
      </c>
      <c r="I27" s="101">
        <f t="shared" si="1"/>
        <v>11992055</v>
      </c>
      <c r="J27" s="101">
        <f t="shared" si="1"/>
        <v>10680882</v>
      </c>
      <c r="K27" s="101">
        <f t="shared" si="2"/>
        <v>9136157</v>
      </c>
      <c r="L27" s="101">
        <f t="shared" si="2"/>
        <v>10882861</v>
      </c>
      <c r="M27" s="101">
        <f t="shared" si="2"/>
        <v>11828987</v>
      </c>
      <c r="N27" s="101">
        <f t="shared" si="2"/>
        <v>11720054</v>
      </c>
      <c r="O27" s="101">
        <f t="shared" si="2"/>
        <v>9707585</v>
      </c>
      <c r="P27" s="71"/>
      <c r="Q27" s="71"/>
      <c r="R27" s="71"/>
    </row>
    <row r="28" spans="1:18" s="66" customFormat="1" x14ac:dyDescent="0.2">
      <c r="A28" s="94">
        <v>24</v>
      </c>
      <c r="B28" s="95" t="s">
        <v>211</v>
      </c>
      <c r="C28" s="96"/>
      <c r="D28" s="101">
        <f t="shared" si="3"/>
        <v>8691484</v>
      </c>
      <c r="E28" s="101">
        <f t="shared" si="3"/>
        <v>7203128</v>
      </c>
      <c r="F28" s="101">
        <f t="shared" ref="F28" si="5">F16+F22</f>
        <v>8643255</v>
      </c>
      <c r="G28" s="101">
        <f t="shared" si="1"/>
        <v>7732539</v>
      </c>
      <c r="H28" s="101">
        <f t="shared" si="1"/>
        <v>7832859</v>
      </c>
      <c r="I28" s="101">
        <f t="shared" si="1"/>
        <v>8284957</v>
      </c>
      <c r="J28" s="101">
        <f t="shared" si="1"/>
        <v>7800901</v>
      </c>
      <c r="K28" s="101">
        <f t="shared" si="2"/>
        <v>7976461</v>
      </c>
      <c r="L28" s="101">
        <f t="shared" si="2"/>
        <v>8637053</v>
      </c>
      <c r="M28" s="101">
        <f t="shared" si="2"/>
        <v>7753339</v>
      </c>
      <c r="N28" s="101">
        <f t="shared" si="2"/>
        <v>8824216</v>
      </c>
      <c r="O28" s="101">
        <f t="shared" si="2"/>
        <v>7129693</v>
      </c>
      <c r="P28" s="71"/>
      <c r="Q28" s="71"/>
      <c r="R28" s="71"/>
    </row>
    <row r="29" spans="1:18" s="66" customFormat="1" x14ac:dyDescent="0.2">
      <c r="A29" s="91">
        <v>25</v>
      </c>
      <c r="B29" s="92" t="s">
        <v>212</v>
      </c>
      <c r="C29" s="93"/>
      <c r="D29" s="101">
        <f t="shared" si="3"/>
        <v>7112588</v>
      </c>
      <c r="E29" s="101">
        <f t="shared" si="3"/>
        <v>4757543</v>
      </c>
      <c r="F29" s="101">
        <f t="shared" ref="F29" si="6">F17+F23</f>
        <v>7336727</v>
      </c>
      <c r="G29" s="101">
        <f t="shared" si="1"/>
        <v>5758837</v>
      </c>
      <c r="H29" s="101">
        <f t="shared" si="1"/>
        <v>6378740</v>
      </c>
      <c r="I29" s="101">
        <f t="shared" si="1"/>
        <v>7058882</v>
      </c>
      <c r="J29" s="101">
        <f t="shared" si="1"/>
        <v>6552895</v>
      </c>
      <c r="K29" s="101">
        <f t="shared" si="2"/>
        <v>5978138</v>
      </c>
      <c r="L29" s="101">
        <f t="shared" si="2"/>
        <v>7500727</v>
      </c>
      <c r="M29" s="101">
        <f t="shared" si="2"/>
        <v>6087566</v>
      </c>
      <c r="N29" s="101">
        <f t="shared" si="2"/>
        <v>6957331</v>
      </c>
      <c r="O29" s="101">
        <f t="shared" si="2"/>
        <v>5952403</v>
      </c>
      <c r="P29" s="71"/>
      <c r="Q29" s="71"/>
      <c r="R29" s="71"/>
    </row>
    <row r="30" spans="1:18" s="66" customFormat="1" x14ac:dyDescent="0.2">
      <c r="A30" s="94">
        <v>26</v>
      </c>
      <c r="B30" s="95" t="s">
        <v>213</v>
      </c>
      <c r="C30" s="96"/>
      <c r="D30" s="101">
        <f t="shared" si="3"/>
        <v>10057157</v>
      </c>
      <c r="E30" s="101">
        <f t="shared" si="3"/>
        <v>10104836</v>
      </c>
      <c r="F30" s="101">
        <f t="shared" ref="F30" si="7">F18+F24</f>
        <v>11330363</v>
      </c>
      <c r="G30" s="101">
        <f t="shared" si="1"/>
        <v>10737743</v>
      </c>
      <c r="H30" s="101">
        <f t="shared" si="1"/>
        <v>11425299</v>
      </c>
      <c r="I30" s="101">
        <f t="shared" si="1"/>
        <v>10593845</v>
      </c>
      <c r="J30" s="101">
        <f t="shared" si="1"/>
        <v>10647177</v>
      </c>
      <c r="K30" s="101">
        <f t="shared" si="2"/>
        <v>10588858</v>
      </c>
      <c r="L30" s="101">
        <f t="shared" si="2"/>
        <v>10763823</v>
      </c>
      <c r="M30" s="101">
        <f t="shared" si="2"/>
        <v>10892545</v>
      </c>
      <c r="N30" s="101">
        <f t="shared" si="2"/>
        <v>11160717</v>
      </c>
      <c r="O30" s="101">
        <f t="shared" si="2"/>
        <v>11051210</v>
      </c>
      <c r="P30" s="71"/>
      <c r="Q30" s="71"/>
      <c r="R30" s="71"/>
    </row>
    <row r="31" spans="1:18" s="66" customFormat="1" x14ac:dyDescent="0.2">
      <c r="A31" s="91">
        <v>27</v>
      </c>
      <c r="B31" s="92" t="s">
        <v>214</v>
      </c>
      <c r="C31" s="93"/>
      <c r="D31" s="101">
        <f t="shared" si="3"/>
        <v>7725097</v>
      </c>
      <c r="E31" s="101">
        <f t="shared" si="3"/>
        <v>6301045</v>
      </c>
      <c r="F31" s="101">
        <f t="shared" ref="F31" si="8">F19+F25</f>
        <v>9532096</v>
      </c>
      <c r="G31" s="101">
        <f t="shared" si="1"/>
        <v>7669018</v>
      </c>
      <c r="H31" s="101">
        <f t="shared" si="1"/>
        <v>8647299</v>
      </c>
      <c r="I31" s="101">
        <f t="shared" si="1"/>
        <v>8720863</v>
      </c>
      <c r="J31" s="101">
        <f t="shared" si="1"/>
        <v>8292473</v>
      </c>
      <c r="K31" s="101">
        <f t="shared" si="2"/>
        <v>7682005</v>
      </c>
      <c r="L31" s="101">
        <f t="shared" si="2"/>
        <v>8512162</v>
      </c>
      <c r="M31" s="101">
        <f t="shared" si="2"/>
        <v>8178197</v>
      </c>
      <c r="N31" s="101">
        <f t="shared" si="2"/>
        <v>8444165</v>
      </c>
      <c r="O31" s="101">
        <f t="shared" si="2"/>
        <v>8641362</v>
      </c>
      <c r="P31" s="71"/>
      <c r="Q31" s="71"/>
      <c r="R31" s="71"/>
    </row>
    <row r="32" spans="1:18" s="66" customFormat="1" x14ac:dyDescent="0.2">
      <c r="A32" s="94">
        <v>28</v>
      </c>
      <c r="B32" s="95" t="s">
        <v>215</v>
      </c>
      <c r="C32" s="96" t="s">
        <v>194</v>
      </c>
      <c r="D32" s="101">
        <f t="shared" ref="D32:O33" si="9">+D26+D28+D30</f>
        <v>33106150</v>
      </c>
      <c r="E32" s="101">
        <f t="shared" si="9"/>
        <v>29931500</v>
      </c>
      <c r="F32" s="101">
        <f t="shared" ref="F32" si="10">+F26+F28+F30</f>
        <v>34798700</v>
      </c>
      <c r="G32" s="101">
        <f t="shared" si="9"/>
        <v>32036516</v>
      </c>
      <c r="H32" s="101">
        <f t="shared" si="9"/>
        <v>34495433</v>
      </c>
      <c r="I32" s="101">
        <f t="shared" si="9"/>
        <v>34611556</v>
      </c>
      <c r="J32" s="101">
        <f t="shared" si="9"/>
        <v>33053826</v>
      </c>
      <c r="K32" s="101">
        <f t="shared" si="9"/>
        <v>32466305</v>
      </c>
      <c r="L32" s="101">
        <f t="shared" si="9"/>
        <v>33749714</v>
      </c>
      <c r="M32" s="101">
        <f t="shared" si="9"/>
        <v>34813870</v>
      </c>
      <c r="N32" s="101">
        <f t="shared" si="9"/>
        <v>37169603</v>
      </c>
      <c r="O32" s="101">
        <f t="shared" si="9"/>
        <v>31494870</v>
      </c>
      <c r="P32" s="71"/>
      <c r="Q32" s="71"/>
      <c r="R32" s="71"/>
    </row>
    <row r="33" spans="1:18" s="66" customFormat="1" x14ac:dyDescent="0.2">
      <c r="A33" s="91">
        <v>29</v>
      </c>
      <c r="B33" s="92" t="s">
        <v>216</v>
      </c>
      <c r="C33" s="93" t="s">
        <v>194</v>
      </c>
      <c r="D33" s="101">
        <f t="shared" si="9"/>
        <v>25027100</v>
      </c>
      <c r="E33" s="101">
        <f t="shared" si="9"/>
        <v>18211705</v>
      </c>
      <c r="F33" s="101">
        <f t="shared" ref="F33" si="11">+F27+F29+F31</f>
        <v>28063000</v>
      </c>
      <c r="G33" s="101">
        <f t="shared" si="9"/>
        <v>22031500</v>
      </c>
      <c r="H33" s="101">
        <f t="shared" si="9"/>
        <v>26157900</v>
      </c>
      <c r="I33" s="101">
        <f t="shared" si="9"/>
        <v>27771800</v>
      </c>
      <c r="J33" s="101">
        <f t="shared" si="9"/>
        <v>25526250</v>
      </c>
      <c r="K33" s="101">
        <f t="shared" ref="K33:O33" si="12">+K31+K29+K27</f>
        <v>22796300</v>
      </c>
      <c r="L33" s="101">
        <f t="shared" si="12"/>
        <v>26895750</v>
      </c>
      <c r="M33" s="101">
        <f t="shared" si="12"/>
        <v>26094750</v>
      </c>
      <c r="N33" s="101">
        <f t="shared" si="12"/>
        <v>27121550</v>
      </c>
      <c r="O33" s="101">
        <f t="shared" si="12"/>
        <v>24301350</v>
      </c>
      <c r="P33" s="71"/>
      <c r="Q33" s="71"/>
      <c r="R33" s="71"/>
    </row>
    <row r="34" spans="1:18" s="66" customFormat="1" ht="12.75" customHeight="1" x14ac:dyDescent="0.2">
      <c r="A34" s="94">
        <v>30</v>
      </c>
      <c r="B34" s="95" t="s">
        <v>217</v>
      </c>
      <c r="C34" s="96" t="s">
        <v>218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65"/>
      <c r="Q34" s="65"/>
      <c r="R34" s="65"/>
    </row>
    <row r="35" spans="1:18" x14ac:dyDescent="0.2">
      <c r="A35" s="91">
        <v>31</v>
      </c>
      <c r="B35" s="92" t="s">
        <v>262</v>
      </c>
      <c r="C35" s="93" t="s">
        <v>218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65"/>
      <c r="Q35" s="65"/>
      <c r="R35" s="65"/>
    </row>
    <row r="36" spans="1:18" s="66" customFormat="1" x14ac:dyDescent="0.2">
      <c r="A36" s="94">
        <v>32</v>
      </c>
      <c r="B36" s="95" t="s">
        <v>219</v>
      </c>
      <c r="C36" s="96"/>
      <c r="D36" s="102">
        <v>103.43</v>
      </c>
      <c r="E36" s="102">
        <v>78.760000000000005</v>
      </c>
      <c r="F36" s="102">
        <v>84.98</v>
      </c>
      <c r="G36" s="102">
        <v>65.89</v>
      </c>
      <c r="H36" s="102">
        <v>98.57</v>
      </c>
      <c r="I36" s="102">
        <v>98.08</v>
      </c>
      <c r="J36" s="102">
        <v>92.23</v>
      </c>
      <c r="K36" s="104">
        <v>101.45</v>
      </c>
      <c r="L36" s="104">
        <v>89.66</v>
      </c>
      <c r="M36" s="104">
        <v>96.18</v>
      </c>
      <c r="N36" s="104">
        <v>98.34</v>
      </c>
      <c r="O36" s="104">
        <v>87.62</v>
      </c>
      <c r="P36" s="64">
        <f>SUM(D36:O36)</f>
        <v>1095.19</v>
      </c>
    </row>
    <row r="37" spans="1:18" s="66" customFormat="1" x14ac:dyDescent="0.2">
      <c r="A37" s="91">
        <v>33</v>
      </c>
      <c r="B37" s="92" t="s">
        <v>134</v>
      </c>
      <c r="C37" s="93"/>
      <c r="D37" s="105">
        <f>+D32-D33</f>
        <v>8079050</v>
      </c>
      <c r="E37" s="105">
        <f t="shared" ref="E37:O37" si="13">+E32-E33</f>
        <v>11719795</v>
      </c>
      <c r="F37" s="105">
        <f t="shared" si="13"/>
        <v>6735700</v>
      </c>
      <c r="G37" s="105">
        <f t="shared" si="13"/>
        <v>10005016</v>
      </c>
      <c r="H37" s="105">
        <f t="shared" si="13"/>
        <v>8337533</v>
      </c>
      <c r="I37" s="105">
        <f t="shared" si="13"/>
        <v>6839756</v>
      </c>
      <c r="J37" s="105">
        <f t="shared" si="13"/>
        <v>7527576</v>
      </c>
      <c r="K37" s="105">
        <f t="shared" si="13"/>
        <v>9670005</v>
      </c>
      <c r="L37" s="105">
        <f t="shared" si="13"/>
        <v>6853964</v>
      </c>
      <c r="M37" s="105">
        <f t="shared" si="13"/>
        <v>8719120</v>
      </c>
      <c r="N37" s="105">
        <f t="shared" si="13"/>
        <v>10048053</v>
      </c>
      <c r="O37" s="105">
        <f t="shared" si="13"/>
        <v>7193520</v>
      </c>
      <c r="P37" s="64"/>
    </row>
    <row r="38" spans="1:18" s="66" customFormat="1" x14ac:dyDescent="0.2">
      <c r="A38" s="94">
        <v>34</v>
      </c>
      <c r="B38" s="95" t="s">
        <v>140</v>
      </c>
      <c r="C38" s="96"/>
      <c r="D38" s="102">
        <v>1581</v>
      </c>
      <c r="E38" s="102">
        <v>1568</v>
      </c>
      <c r="F38" s="102">
        <v>1595</v>
      </c>
      <c r="G38" s="102">
        <v>1606</v>
      </c>
      <c r="H38" s="102">
        <v>1608</v>
      </c>
      <c r="I38" s="102">
        <v>1611</v>
      </c>
      <c r="J38" s="104">
        <v>1615</v>
      </c>
      <c r="K38" s="104">
        <v>1601</v>
      </c>
      <c r="L38" s="104">
        <v>1576</v>
      </c>
      <c r="M38" s="104">
        <v>1629</v>
      </c>
      <c r="N38" s="104">
        <v>1611</v>
      </c>
      <c r="O38" s="104">
        <v>1622</v>
      </c>
      <c r="P38" s="64"/>
    </row>
    <row r="39" spans="1:18" s="66" customFormat="1" x14ac:dyDescent="0.2">
      <c r="A39" s="91">
        <v>35</v>
      </c>
      <c r="B39" s="92" t="s">
        <v>260</v>
      </c>
      <c r="C39" s="93"/>
      <c r="D39" s="103">
        <v>3</v>
      </c>
      <c r="E39" s="103">
        <v>2</v>
      </c>
      <c r="F39" s="103">
        <v>4</v>
      </c>
      <c r="G39" s="103">
        <v>5</v>
      </c>
      <c r="H39" s="103">
        <v>2</v>
      </c>
      <c r="I39" s="103">
        <v>6</v>
      </c>
      <c r="J39" s="103" t="s">
        <v>263</v>
      </c>
      <c r="K39" s="103" t="s">
        <v>263</v>
      </c>
      <c r="L39" s="103" t="s">
        <v>263</v>
      </c>
      <c r="M39" s="103" t="s">
        <v>263</v>
      </c>
      <c r="N39" s="103" t="s">
        <v>263</v>
      </c>
      <c r="O39" s="103" t="s">
        <v>263</v>
      </c>
      <c r="P39" s="64"/>
    </row>
    <row r="40" spans="1:18" s="66" customFormat="1" x14ac:dyDescent="0.2">
      <c r="A40" s="94">
        <v>36</v>
      </c>
      <c r="B40" s="95" t="s">
        <v>261</v>
      </c>
      <c r="C40" s="96"/>
      <c r="D40" s="102">
        <v>2</v>
      </c>
      <c r="E40" s="102">
        <v>4</v>
      </c>
      <c r="F40" s="102">
        <v>6</v>
      </c>
      <c r="G40" s="102">
        <v>11</v>
      </c>
      <c r="H40" s="102">
        <v>4</v>
      </c>
      <c r="I40" s="102">
        <v>10</v>
      </c>
      <c r="J40" s="104">
        <v>5</v>
      </c>
      <c r="K40" s="104">
        <v>7</v>
      </c>
      <c r="L40" s="104">
        <v>4</v>
      </c>
      <c r="M40" s="104">
        <v>8</v>
      </c>
      <c r="N40" s="104">
        <v>5</v>
      </c>
      <c r="O40" s="104">
        <v>6</v>
      </c>
      <c r="P40" s="64"/>
    </row>
    <row r="41" spans="1:18" s="66" customFormat="1" x14ac:dyDescent="0.2">
      <c r="A41" s="91"/>
      <c r="B41" s="92"/>
      <c r="C41" s="93"/>
      <c r="D41" s="103"/>
      <c r="E41" s="103"/>
      <c r="F41" s="103"/>
      <c r="G41" s="103"/>
      <c r="H41" s="103"/>
      <c r="I41" s="103"/>
      <c r="J41" s="103"/>
      <c r="K41" s="106"/>
      <c r="L41" s="106"/>
      <c r="M41" s="106"/>
      <c r="N41" s="106"/>
      <c r="O41" s="106"/>
      <c r="P41" s="64"/>
      <c r="Q41" s="64"/>
      <c r="R41" s="64"/>
    </row>
    <row r="42" spans="1:18" x14ac:dyDescent="0.2">
      <c r="A42" s="94"/>
      <c r="B42" s="95" t="s">
        <v>32</v>
      </c>
      <c r="C42" s="107"/>
      <c r="D42" s="108">
        <f>+D4</f>
        <v>43101</v>
      </c>
      <c r="E42" s="108">
        <f t="shared" ref="E42:O42" si="14">+E4</f>
        <v>43132</v>
      </c>
      <c r="F42" s="108">
        <f t="shared" si="14"/>
        <v>43163</v>
      </c>
      <c r="G42" s="108">
        <f t="shared" si="14"/>
        <v>43194</v>
      </c>
      <c r="H42" s="108">
        <f t="shared" si="14"/>
        <v>43225</v>
      </c>
      <c r="I42" s="108">
        <f t="shared" si="14"/>
        <v>43256</v>
      </c>
      <c r="J42" s="108">
        <f t="shared" si="14"/>
        <v>43287</v>
      </c>
      <c r="K42" s="108">
        <f t="shared" si="14"/>
        <v>43318</v>
      </c>
      <c r="L42" s="108">
        <f t="shared" si="14"/>
        <v>43349</v>
      </c>
      <c r="M42" s="108">
        <f t="shared" si="14"/>
        <v>43380</v>
      </c>
      <c r="N42" s="108">
        <f t="shared" si="14"/>
        <v>43411</v>
      </c>
      <c r="O42" s="108">
        <f t="shared" si="14"/>
        <v>43442</v>
      </c>
    </row>
    <row r="43" spans="1:18" x14ac:dyDescent="0.2">
      <c r="A43" s="83"/>
      <c r="B43" s="92" t="s">
        <v>220</v>
      </c>
      <c r="C43" s="109"/>
      <c r="D43" s="105">
        <f t="shared" ref="D43:G44" si="15">+D14+D16+D18</f>
        <v>25239800</v>
      </c>
      <c r="E43" s="105">
        <f t="shared" si="15"/>
        <v>22004900</v>
      </c>
      <c r="F43" s="105">
        <f t="shared" si="15"/>
        <v>25056405</v>
      </c>
      <c r="G43" s="105">
        <f t="shared" si="15"/>
        <v>23509166</v>
      </c>
      <c r="H43" s="105">
        <f t="shared" ref="H43" si="16">+H14+H16+H18</f>
        <v>24163317</v>
      </c>
      <c r="I43" s="105">
        <f>+I14+I16+I18</f>
        <v>27254373</v>
      </c>
      <c r="J43" s="105">
        <f>+J14+J16+J18</f>
        <v>25210620</v>
      </c>
      <c r="K43" s="105">
        <f t="shared" ref="K43:O44" si="17">+K14+K16+K18</f>
        <v>24974629</v>
      </c>
      <c r="L43" s="105">
        <f t="shared" si="17"/>
        <v>25518359</v>
      </c>
      <c r="M43" s="105">
        <f t="shared" si="17"/>
        <v>26813806</v>
      </c>
      <c r="N43" s="105">
        <f t="shared" si="17"/>
        <v>28122033</v>
      </c>
      <c r="O43" s="105">
        <f t="shared" si="17"/>
        <v>21449717</v>
      </c>
    </row>
    <row r="44" spans="1:18" x14ac:dyDescent="0.2">
      <c r="A44" s="94"/>
      <c r="B44" s="95" t="s">
        <v>221</v>
      </c>
      <c r="C44" s="96"/>
      <c r="D44" s="105">
        <f t="shared" si="15"/>
        <v>21688901</v>
      </c>
      <c r="E44" s="105">
        <f t="shared" si="15"/>
        <v>15937330</v>
      </c>
      <c r="F44" s="105">
        <f t="shared" si="15"/>
        <v>23011244</v>
      </c>
      <c r="G44" s="105">
        <f t="shared" si="15"/>
        <v>19029893</v>
      </c>
      <c r="H44" s="105">
        <f t="shared" ref="H44" si="18">+H15+H17+H19</f>
        <v>19762300</v>
      </c>
      <c r="I44" s="105">
        <f>+I15+I17+I19</f>
        <v>24336511</v>
      </c>
      <c r="J44" s="105">
        <f>+J15+J17+J19</f>
        <v>21771390</v>
      </c>
      <c r="K44" s="105">
        <f t="shared" si="17"/>
        <v>19687066</v>
      </c>
      <c r="L44" s="105">
        <f t="shared" si="17"/>
        <v>22378150</v>
      </c>
      <c r="M44" s="105">
        <f t="shared" si="17"/>
        <v>21864156</v>
      </c>
      <c r="N44" s="105">
        <f t="shared" si="17"/>
        <v>21788705</v>
      </c>
      <c r="O44" s="105">
        <f t="shared" si="17"/>
        <v>18187374</v>
      </c>
    </row>
    <row r="45" spans="1:18" x14ac:dyDescent="0.2">
      <c r="A45" s="83"/>
      <c r="B45" s="84"/>
      <c r="C45" s="85"/>
      <c r="D45" s="108">
        <f>+D42</f>
        <v>43101</v>
      </c>
      <c r="E45" s="108">
        <f t="shared" ref="E45:O45" si="19">+E42</f>
        <v>43132</v>
      </c>
      <c r="F45" s="108">
        <f t="shared" si="19"/>
        <v>43163</v>
      </c>
      <c r="G45" s="108">
        <f t="shared" si="19"/>
        <v>43194</v>
      </c>
      <c r="H45" s="108">
        <f t="shared" si="19"/>
        <v>43225</v>
      </c>
      <c r="I45" s="108">
        <f t="shared" si="19"/>
        <v>43256</v>
      </c>
      <c r="J45" s="108">
        <f t="shared" si="19"/>
        <v>43287</v>
      </c>
      <c r="K45" s="108">
        <f t="shared" si="19"/>
        <v>43318</v>
      </c>
      <c r="L45" s="108">
        <f t="shared" si="19"/>
        <v>43349</v>
      </c>
      <c r="M45" s="108">
        <f t="shared" si="19"/>
        <v>43380</v>
      </c>
      <c r="N45" s="108">
        <f t="shared" si="19"/>
        <v>43411</v>
      </c>
      <c r="O45" s="108">
        <f t="shared" si="19"/>
        <v>43442</v>
      </c>
    </row>
    <row r="46" spans="1:18" x14ac:dyDescent="0.2">
      <c r="A46" s="94"/>
      <c r="B46" s="95" t="s">
        <v>222</v>
      </c>
      <c r="C46" s="96"/>
      <c r="D46" s="105">
        <f t="shared" ref="D46:O47" si="20">+D20+D22+D24</f>
        <v>7866350</v>
      </c>
      <c r="E46" s="105">
        <f t="shared" si="20"/>
        <v>7926600</v>
      </c>
      <c r="F46" s="105">
        <f t="shared" si="20"/>
        <v>9742295</v>
      </c>
      <c r="G46" s="105">
        <f t="shared" si="20"/>
        <v>8527350</v>
      </c>
      <c r="H46" s="105">
        <f t="shared" si="20"/>
        <v>10332116</v>
      </c>
      <c r="I46" s="105">
        <f t="shared" si="20"/>
        <v>7357183</v>
      </c>
      <c r="J46" s="105">
        <f t="shared" si="20"/>
        <v>7843206</v>
      </c>
      <c r="K46" s="105">
        <f t="shared" si="20"/>
        <v>7491676</v>
      </c>
      <c r="L46" s="105">
        <f t="shared" si="20"/>
        <v>8231355</v>
      </c>
      <c r="M46" s="105">
        <f t="shared" si="20"/>
        <v>8000064</v>
      </c>
      <c r="N46" s="105">
        <f t="shared" si="20"/>
        <v>9047570</v>
      </c>
      <c r="O46" s="105">
        <f t="shared" si="20"/>
        <v>10045153</v>
      </c>
    </row>
    <row r="47" spans="1:18" x14ac:dyDescent="0.2">
      <c r="A47" s="83"/>
      <c r="B47" s="92" t="s">
        <v>223</v>
      </c>
      <c r="C47" s="85"/>
      <c r="D47" s="105">
        <f t="shared" si="20"/>
        <v>3338199</v>
      </c>
      <c r="E47" s="105">
        <f t="shared" si="20"/>
        <v>2274375</v>
      </c>
      <c r="F47" s="105">
        <f t="shared" si="20"/>
        <v>5051756</v>
      </c>
      <c r="G47" s="105">
        <f t="shared" si="20"/>
        <v>3001607</v>
      </c>
      <c r="H47" s="105">
        <f t="shared" si="20"/>
        <v>6395600</v>
      </c>
      <c r="I47" s="105">
        <f t="shared" si="20"/>
        <v>3435289</v>
      </c>
      <c r="J47" s="105">
        <f t="shared" si="20"/>
        <v>3754860</v>
      </c>
      <c r="K47" s="105">
        <f t="shared" si="20"/>
        <v>3109234</v>
      </c>
      <c r="L47" s="105">
        <f t="shared" si="20"/>
        <v>4517600</v>
      </c>
      <c r="M47" s="105">
        <f t="shared" si="20"/>
        <v>4230594</v>
      </c>
      <c r="N47" s="105">
        <f t="shared" si="20"/>
        <v>5332845</v>
      </c>
      <c r="O47" s="105">
        <f t="shared" si="20"/>
        <v>6113976</v>
      </c>
    </row>
    <row r="48" spans="1:18" x14ac:dyDescent="0.2">
      <c r="A48" s="94"/>
      <c r="B48" s="95" t="s">
        <v>224</v>
      </c>
      <c r="C48" s="96"/>
      <c r="D48" s="110">
        <f t="shared" ref="D48:O48" si="21">+D44/D43</f>
        <v>0.8593135048613697</v>
      </c>
      <c r="E48" s="110">
        <f t="shared" si="21"/>
        <v>0.72426277783584569</v>
      </c>
      <c r="F48" s="110">
        <f t="shared" si="21"/>
        <v>0.91837771619671693</v>
      </c>
      <c r="G48" s="110">
        <f t="shared" si="21"/>
        <v>0.80946695429348703</v>
      </c>
      <c r="H48" s="110">
        <f t="shared" si="21"/>
        <v>0.81786370637772954</v>
      </c>
      <c r="I48" s="110">
        <f t="shared" si="21"/>
        <v>0.89293967613931169</v>
      </c>
      <c r="J48" s="110">
        <f t="shared" si="21"/>
        <v>0.86358011028685533</v>
      </c>
      <c r="K48" s="110">
        <f t="shared" si="21"/>
        <v>0.78828262073482658</v>
      </c>
      <c r="L48" s="110">
        <f t="shared" si="21"/>
        <v>0.87694314512935567</v>
      </c>
      <c r="M48" s="110">
        <f t="shared" si="21"/>
        <v>0.81540666028537689</v>
      </c>
      <c r="N48" s="110">
        <f t="shared" si="21"/>
        <v>0.77479124642233366</v>
      </c>
      <c r="O48" s="110">
        <f t="shared" si="21"/>
        <v>0.84790741061991637</v>
      </c>
    </row>
    <row r="49" spans="1:18" x14ac:dyDescent="0.2">
      <c r="A49" s="83"/>
      <c r="B49" s="92" t="s">
        <v>225</v>
      </c>
      <c r="C49" s="85"/>
      <c r="D49" s="111">
        <f t="shared" ref="D49:O49" si="22">+D47/D46</f>
        <v>0.42436441297425109</v>
      </c>
      <c r="E49" s="111">
        <f t="shared" si="22"/>
        <v>0.28692945272878662</v>
      </c>
      <c r="F49" s="111">
        <f t="shared" si="22"/>
        <v>0.51853859896461763</v>
      </c>
      <c r="G49" s="111">
        <f t="shared" si="22"/>
        <v>0.3519976311515301</v>
      </c>
      <c r="H49" s="111">
        <f t="shared" si="22"/>
        <v>0.61900195468188701</v>
      </c>
      <c r="I49" s="111">
        <f t="shared" si="22"/>
        <v>0.46692993772208741</v>
      </c>
      <c r="J49" s="111">
        <f t="shared" si="22"/>
        <v>0.47874045383992209</v>
      </c>
      <c r="K49" s="111">
        <f t="shared" si="22"/>
        <v>0.41502515591971678</v>
      </c>
      <c r="L49" s="111">
        <f t="shared" si="22"/>
        <v>0.54882823058900998</v>
      </c>
      <c r="M49" s="111">
        <f t="shared" si="22"/>
        <v>0.52882001943984447</v>
      </c>
      <c r="N49" s="111">
        <f t="shared" si="22"/>
        <v>0.58942290581891055</v>
      </c>
      <c r="O49" s="111">
        <f t="shared" si="22"/>
        <v>0.60864936551986815</v>
      </c>
    </row>
    <row r="50" spans="1:18" x14ac:dyDescent="0.2">
      <c r="A50" s="112"/>
      <c r="B50" s="113"/>
      <c r="C50" s="114"/>
      <c r="D50" s="115"/>
      <c r="E50" s="115"/>
      <c r="F50" s="115"/>
      <c r="G50" s="115"/>
      <c r="H50" s="115"/>
      <c r="I50" s="115"/>
      <c r="J50" s="115"/>
      <c r="K50" s="116"/>
      <c r="L50" s="116"/>
      <c r="M50" s="116"/>
      <c r="N50" s="116"/>
      <c r="O50" s="116"/>
    </row>
    <row r="51" spans="1:18" x14ac:dyDescent="0.2">
      <c r="A51" s="117"/>
      <c r="B51" s="117"/>
      <c r="C51" s="117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</row>
    <row r="52" spans="1:18" x14ac:dyDescent="0.2">
      <c r="A52" s="276" t="s">
        <v>226</v>
      </c>
      <c r="B52" s="276"/>
      <c r="C52" s="81" t="s">
        <v>185</v>
      </c>
      <c r="D52" s="82">
        <v>42736</v>
      </c>
      <c r="E52" s="82">
        <v>42767</v>
      </c>
      <c r="F52" s="82">
        <v>42795</v>
      </c>
      <c r="G52" s="82">
        <v>42826</v>
      </c>
      <c r="H52" s="82">
        <v>42856</v>
      </c>
      <c r="I52" s="82">
        <v>42887</v>
      </c>
      <c r="J52" s="82">
        <v>42917</v>
      </c>
      <c r="K52" s="82">
        <v>42948</v>
      </c>
      <c r="L52" s="82">
        <v>42979</v>
      </c>
      <c r="M52" s="82">
        <v>43009</v>
      </c>
      <c r="N52" s="82">
        <v>43040</v>
      </c>
      <c r="O52" s="82">
        <v>43070</v>
      </c>
    </row>
    <row r="53" spans="1:18" x14ac:dyDescent="0.2">
      <c r="A53" s="83">
        <v>1</v>
      </c>
      <c r="B53" s="84" t="s">
        <v>227</v>
      </c>
      <c r="C53" s="85" t="s">
        <v>228</v>
      </c>
      <c r="D53" s="118">
        <f>+D6/D5</f>
        <v>0.99044776119402989</v>
      </c>
      <c r="E53" s="118">
        <f t="shared" ref="E53:O53" si="23">+E6/E5</f>
        <v>0.99048751486325803</v>
      </c>
      <c r="F53" s="118">
        <f t="shared" si="23"/>
        <v>0.99052132701421802</v>
      </c>
      <c r="G53" s="118">
        <f t="shared" si="23"/>
        <v>0.99052132701421802</v>
      </c>
      <c r="H53" s="118">
        <f t="shared" si="23"/>
        <v>0.99053814311058541</v>
      </c>
      <c r="I53" s="118">
        <f t="shared" si="23"/>
        <v>0.99056603773584906</v>
      </c>
      <c r="J53" s="118">
        <f t="shared" si="23"/>
        <v>0.99056047197640118</v>
      </c>
      <c r="K53" s="118">
        <f t="shared" si="23"/>
        <v>0.99059376837154611</v>
      </c>
      <c r="L53" s="118">
        <f>+L6/L5</f>
        <v>0.99062133645955452</v>
      </c>
      <c r="M53" s="118">
        <f t="shared" si="23"/>
        <v>0.99063231850117095</v>
      </c>
      <c r="N53" s="118">
        <f t="shared" si="23"/>
        <v>0.99065966141272621</v>
      </c>
      <c r="O53" s="118">
        <f t="shared" si="23"/>
        <v>0.99065966141272621</v>
      </c>
    </row>
    <row r="54" spans="1:18" x14ac:dyDescent="0.2">
      <c r="A54" s="94">
        <v>2</v>
      </c>
      <c r="B54" s="95" t="s">
        <v>229</v>
      </c>
      <c r="C54" s="96" t="s">
        <v>228</v>
      </c>
      <c r="D54" s="118">
        <f>+D7/D5</f>
        <v>0.96597014925373137</v>
      </c>
      <c r="E54" s="118">
        <f t="shared" ref="E54:O54" si="24">+E7/E5</f>
        <v>0.96551724137931039</v>
      </c>
      <c r="F54" s="118">
        <f t="shared" si="24"/>
        <v>0.96563981042654023</v>
      </c>
      <c r="G54" s="118">
        <f t="shared" si="24"/>
        <v>0.96563981042654023</v>
      </c>
      <c r="H54" s="118">
        <f t="shared" si="24"/>
        <v>0.9657007687758723</v>
      </c>
      <c r="I54" s="118">
        <f t="shared" si="24"/>
        <v>0.96580188679245282</v>
      </c>
      <c r="J54" s="118">
        <f t="shared" si="24"/>
        <v>0.96578171091445431</v>
      </c>
      <c r="K54" s="118">
        <f t="shared" si="24"/>
        <v>0.96590241034685476</v>
      </c>
      <c r="L54" s="118">
        <f t="shared" si="24"/>
        <v>0.96541617819460723</v>
      </c>
      <c r="M54" s="118">
        <f t="shared" si="24"/>
        <v>0.96545667447306793</v>
      </c>
      <c r="N54" s="118">
        <f t="shared" si="24"/>
        <v>0.96555750145942787</v>
      </c>
      <c r="O54" s="118">
        <f t="shared" si="24"/>
        <v>0.96555750145942787</v>
      </c>
    </row>
    <row r="55" spans="1:18" x14ac:dyDescent="0.2">
      <c r="A55" s="83">
        <v>3</v>
      </c>
      <c r="B55" s="84" t="s">
        <v>230</v>
      </c>
      <c r="C55" s="85" t="s">
        <v>228</v>
      </c>
      <c r="D55" s="118">
        <f>+D8/D5</f>
        <v>0.96477611940298502</v>
      </c>
      <c r="E55" s="118">
        <f t="shared" ref="E55:O55" si="25">+E8/E5</f>
        <v>0.96373365041617121</v>
      </c>
      <c r="F55" s="118">
        <f t="shared" si="25"/>
        <v>0.96386255924170616</v>
      </c>
      <c r="G55" s="118">
        <f t="shared" si="25"/>
        <v>0.96386255924170616</v>
      </c>
      <c r="H55" s="118">
        <f t="shared" si="25"/>
        <v>0.96392667060910708</v>
      </c>
      <c r="I55" s="118">
        <f t="shared" si="25"/>
        <v>0.96403301886792447</v>
      </c>
      <c r="J55" s="118">
        <f t="shared" si="25"/>
        <v>0.96401179941002946</v>
      </c>
      <c r="K55" s="118">
        <f t="shared" si="25"/>
        <v>0.96413874191651971</v>
      </c>
      <c r="L55" s="118">
        <f t="shared" si="25"/>
        <v>0.96424384525205153</v>
      </c>
      <c r="M55" s="118">
        <f t="shared" si="25"/>
        <v>0.9642857142857143</v>
      </c>
      <c r="N55" s="118">
        <f t="shared" si="25"/>
        <v>0.96438995913601866</v>
      </c>
      <c r="O55" s="118">
        <f t="shared" si="25"/>
        <v>0.96438995913601866</v>
      </c>
    </row>
    <row r="56" spans="1:18" ht="22.5" x14ac:dyDescent="0.2">
      <c r="A56" s="94">
        <v>4</v>
      </c>
      <c r="B56" s="95" t="s">
        <v>231</v>
      </c>
      <c r="C56" s="119" t="s">
        <v>232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8" x14ac:dyDescent="0.2">
      <c r="A57" s="83">
        <v>5</v>
      </c>
      <c r="B57" s="84" t="s">
        <v>233</v>
      </c>
      <c r="C57" s="85" t="s">
        <v>228</v>
      </c>
      <c r="D57" s="120">
        <f>+ROUND((D9-D10)/D9,4)</f>
        <v>0.2606</v>
      </c>
      <c r="E57" s="120">
        <f t="shared" ref="E57:O57" si="26">+ROUND((E9-E10)/E9,4)</f>
        <v>0.35680000000000001</v>
      </c>
      <c r="F57" s="120">
        <f t="shared" si="26"/>
        <v>0.35399999999999998</v>
      </c>
      <c r="G57" s="120">
        <f t="shared" si="26"/>
        <v>0.3821</v>
      </c>
      <c r="H57" s="120">
        <f t="shared" si="26"/>
        <v>0.40799999999999997</v>
      </c>
      <c r="I57" s="120">
        <f t="shared" si="26"/>
        <v>0.2737</v>
      </c>
      <c r="J57" s="120">
        <f t="shared" si="26"/>
        <v>0.37540000000000001</v>
      </c>
      <c r="K57" s="120">
        <f t="shared" si="26"/>
        <v>0.35759999999999997</v>
      </c>
      <c r="L57" s="120">
        <f t="shared" si="26"/>
        <v>0.28389999999999999</v>
      </c>
      <c r="M57" s="120">
        <f t="shared" si="26"/>
        <v>0.3644</v>
      </c>
      <c r="N57" s="120">
        <f t="shared" si="26"/>
        <v>0.28839999999999999</v>
      </c>
      <c r="O57" s="120">
        <f t="shared" si="26"/>
        <v>0.4819</v>
      </c>
    </row>
    <row r="58" spans="1:18" x14ac:dyDescent="0.2">
      <c r="A58" s="94">
        <v>6</v>
      </c>
      <c r="B58" s="95" t="s">
        <v>234</v>
      </c>
      <c r="C58" s="96" t="s">
        <v>228</v>
      </c>
      <c r="D58" s="121">
        <f>+D15/D14</f>
        <v>0.85816077307517225</v>
      </c>
      <c r="E58" s="121">
        <f t="shared" ref="E58:O58" si="27">+E15/E14</f>
        <v>0.72975298101784292</v>
      </c>
      <c r="F58" s="121">
        <f t="shared" si="27"/>
        <v>0.90376918155365393</v>
      </c>
      <c r="G58" s="121">
        <f t="shared" si="27"/>
        <v>0.80776210838422968</v>
      </c>
      <c r="H58" s="121">
        <f t="shared" si="27"/>
        <v>0.82318635867639123</v>
      </c>
      <c r="I58" s="121">
        <f t="shared" si="27"/>
        <v>0.88682155643271099</v>
      </c>
      <c r="J58" s="121">
        <f t="shared" si="27"/>
        <v>0.86223911167897149</v>
      </c>
      <c r="K58" s="121">
        <f t="shared" si="27"/>
        <v>0.7794548220205596</v>
      </c>
      <c r="L58" s="121">
        <f t="shared" si="27"/>
        <v>0.87579605462762766</v>
      </c>
      <c r="M58" s="121">
        <f t="shared" si="27"/>
        <v>0.82829628938481648</v>
      </c>
      <c r="N58" s="121">
        <f t="shared" si="27"/>
        <v>0.75049518097008339</v>
      </c>
      <c r="O58" s="121">
        <f t="shared" si="27"/>
        <v>0.85341090336769176</v>
      </c>
    </row>
    <row r="59" spans="1:18" x14ac:dyDescent="0.2">
      <c r="A59" s="83">
        <v>7</v>
      </c>
      <c r="B59" s="84" t="s">
        <v>235</v>
      </c>
      <c r="C59" s="85" t="s">
        <v>228</v>
      </c>
      <c r="D59" s="121">
        <f>+D17/D16</f>
        <v>0.85547134958276594</v>
      </c>
      <c r="E59" s="121">
        <f t="shared" ref="E59:O59" si="28">+E17/E16</f>
        <v>0.72906139252820512</v>
      </c>
      <c r="F59" s="121">
        <f t="shared" si="28"/>
        <v>0.90077626088459872</v>
      </c>
      <c r="G59" s="121">
        <f t="shared" si="28"/>
        <v>0.81417615447854463</v>
      </c>
      <c r="H59" s="121">
        <f t="shared" si="28"/>
        <v>0.82071428483326614</v>
      </c>
      <c r="I59" s="121">
        <f t="shared" si="28"/>
        <v>0.87820944139266177</v>
      </c>
      <c r="J59" s="121">
        <f t="shared" si="28"/>
        <v>0.86842662512242064</v>
      </c>
      <c r="K59" s="121">
        <f t="shared" si="28"/>
        <v>0.77491800299004576</v>
      </c>
      <c r="L59" s="121">
        <f t="shared" si="28"/>
        <v>0.8882361798491879</v>
      </c>
      <c r="M59" s="121">
        <f t="shared" si="28"/>
        <v>0.80195963613904087</v>
      </c>
      <c r="N59" s="121">
        <f t="shared" si="28"/>
        <v>0.78047468914108942</v>
      </c>
      <c r="O59" s="121">
        <f t="shared" si="28"/>
        <v>0.84304779962064513</v>
      </c>
    </row>
    <row r="60" spans="1:18" x14ac:dyDescent="0.2">
      <c r="A60" s="94">
        <v>8</v>
      </c>
      <c r="B60" s="95" t="s">
        <v>236</v>
      </c>
      <c r="C60" s="96" t="s">
        <v>228</v>
      </c>
      <c r="D60" s="121">
        <f>+D19/D18</f>
        <v>0.86450363220050142</v>
      </c>
      <c r="E60" s="121">
        <f t="shared" ref="E60:O60" si="29">+E19/E18</f>
        <v>0.71479615156860465</v>
      </c>
      <c r="F60" s="121">
        <f t="shared" si="29"/>
        <v>0.95056196903402301</v>
      </c>
      <c r="G60" s="121">
        <f t="shared" si="29"/>
        <v>0.80794182508681056</v>
      </c>
      <c r="H60" s="121">
        <f t="shared" si="29"/>
        <v>0.80933244265233517</v>
      </c>
      <c r="I60" s="121">
        <f t="shared" si="29"/>
        <v>0.91427113959282513</v>
      </c>
      <c r="J60" s="121">
        <f t="shared" si="29"/>
        <v>0.86157554126489877</v>
      </c>
      <c r="K60" s="121">
        <f t="shared" si="29"/>
        <v>0.80980551186778171</v>
      </c>
      <c r="L60" s="121">
        <f t="shared" si="29"/>
        <v>0.86871810707139385</v>
      </c>
      <c r="M60" s="121">
        <f t="shared" si="29"/>
        <v>0.80643123100097835</v>
      </c>
      <c r="N60" s="121">
        <f t="shared" si="29"/>
        <v>0.80684172264442644</v>
      </c>
      <c r="O60" s="121">
        <f t="shared" si="29"/>
        <v>0.84581919503278102</v>
      </c>
    </row>
    <row r="61" spans="1:18" s="66" customFormat="1" x14ac:dyDescent="0.2">
      <c r="A61" s="91">
        <v>9</v>
      </c>
      <c r="B61" s="92" t="s">
        <v>237</v>
      </c>
      <c r="C61" s="122" t="s">
        <v>228</v>
      </c>
      <c r="D61" s="121">
        <f>+D21/D20</f>
        <v>0.34225773708364332</v>
      </c>
      <c r="E61" s="121">
        <f t="shared" ref="E61:O61" si="30">+E21/E20</f>
        <v>0.22308615678094981</v>
      </c>
      <c r="F61" s="121">
        <f t="shared" si="30"/>
        <v>0.43895608929285745</v>
      </c>
      <c r="G61" s="121">
        <f t="shared" si="30"/>
        <v>0.26369308306541689</v>
      </c>
      <c r="H61" s="121">
        <f t="shared" si="30"/>
        <v>0.54206113673514833</v>
      </c>
      <c r="I61" s="121">
        <f t="shared" si="30"/>
        <v>0.37624905411688708</v>
      </c>
      <c r="J61" s="121">
        <f t="shared" si="30"/>
        <v>0.38130142176901194</v>
      </c>
      <c r="K61" s="121">
        <f t="shared" si="30"/>
        <v>0.34516906903652322</v>
      </c>
      <c r="L61" s="121">
        <f t="shared" si="30"/>
        <v>0.47304401654929062</v>
      </c>
      <c r="M61" s="121">
        <f t="shared" si="30"/>
        <v>0.42607721731288939</v>
      </c>
      <c r="N61" s="121">
        <f t="shared" si="30"/>
        <v>0.48993785585773464</v>
      </c>
      <c r="O61" s="121">
        <f t="shared" si="30"/>
        <v>0.55179976967672717</v>
      </c>
      <c r="P61" s="69"/>
      <c r="Q61" s="69"/>
      <c r="R61" s="69"/>
    </row>
    <row r="62" spans="1:18" x14ac:dyDescent="0.2">
      <c r="A62" s="94">
        <v>10</v>
      </c>
      <c r="B62" s="95" t="s">
        <v>238</v>
      </c>
      <c r="C62" s="96" t="s">
        <v>228</v>
      </c>
      <c r="D62" s="121">
        <f>+D23/D22</f>
        <v>0.61974808176203988</v>
      </c>
      <c r="E62" s="121">
        <f t="shared" ref="E62:O62" si="31">+E23/E22</f>
        <v>0.41545605121501711</v>
      </c>
      <c r="F62" s="121">
        <f t="shared" si="31"/>
        <v>0.66721867828336356</v>
      </c>
      <c r="G62" s="121">
        <f t="shared" si="31"/>
        <v>0.50118128462662426</v>
      </c>
      <c r="H62" s="121">
        <f t="shared" si="31"/>
        <v>0.79763359189030858</v>
      </c>
      <c r="I62" s="121">
        <f t="shared" si="31"/>
        <v>0.6998051114875723</v>
      </c>
      <c r="J62" s="121">
        <f t="shared" si="31"/>
        <v>0.71600204411069834</v>
      </c>
      <c r="K62" s="121">
        <f t="shared" si="31"/>
        <v>0.61368579594832695</v>
      </c>
      <c r="L62" s="121">
        <f t="shared" si="31"/>
        <v>0.77936269756941945</v>
      </c>
      <c r="M62" s="121">
        <f t="shared" si="31"/>
        <v>0.71604850359768202</v>
      </c>
      <c r="N62" s="121">
        <f t="shared" si="31"/>
        <v>0.8215303807543558</v>
      </c>
      <c r="O62" s="121">
        <f t="shared" si="31"/>
        <v>0.81153655005626912</v>
      </c>
    </row>
    <row r="63" spans="1:18" s="66" customFormat="1" x14ac:dyDescent="0.2">
      <c r="A63" s="91">
        <v>11</v>
      </c>
      <c r="B63" s="92" t="s">
        <v>239</v>
      </c>
      <c r="C63" s="122" t="s">
        <v>228</v>
      </c>
      <c r="D63" s="121">
        <f>+D25/D24</f>
        <v>0.45469922435984428</v>
      </c>
      <c r="E63" s="121">
        <f t="shared" ref="E63:O63" si="32">+E25/E24</f>
        <v>0.31184069441791401</v>
      </c>
      <c r="F63" s="121">
        <f t="shared" si="32"/>
        <v>0.54830859880485427</v>
      </c>
      <c r="G63" s="121">
        <f t="shared" si="32"/>
        <v>0.40283671157844908</v>
      </c>
      <c r="H63" s="121">
        <f t="shared" si="32"/>
        <v>0.61926394067600499</v>
      </c>
      <c r="I63" s="121">
        <f t="shared" si="32"/>
        <v>0.49508881922675024</v>
      </c>
      <c r="J63" s="121">
        <f t="shared" si="32"/>
        <v>0.49638802461740006</v>
      </c>
      <c r="K63" s="121">
        <f t="shared" si="32"/>
        <v>0.42502811784934003</v>
      </c>
      <c r="L63" s="121">
        <f t="shared" si="32"/>
        <v>0.53056690814583918</v>
      </c>
      <c r="M63" s="121">
        <f t="shared" si="32"/>
        <v>0.57319061789037262</v>
      </c>
      <c r="N63" s="121">
        <f t="shared" si="32"/>
        <v>0.60793939224114846</v>
      </c>
      <c r="O63" s="121">
        <f t="shared" si="32"/>
        <v>0.58529700693999043</v>
      </c>
      <c r="P63" s="69"/>
      <c r="Q63" s="69"/>
      <c r="R63" s="69"/>
    </row>
    <row r="64" spans="1:18" x14ac:dyDescent="0.2">
      <c r="A64" s="94">
        <v>12</v>
      </c>
      <c r="B64" s="95" t="s">
        <v>240</v>
      </c>
      <c r="C64" s="96" t="s">
        <v>228</v>
      </c>
      <c r="D64" s="121">
        <f t="shared" ref="D64:O64" si="33">+D27/D26</f>
        <v>0.70969239859086974</v>
      </c>
      <c r="E64" s="121">
        <f t="shared" si="33"/>
        <v>0.56664923362202158</v>
      </c>
      <c r="F64" s="121">
        <f t="shared" si="33"/>
        <v>0.75508364810393624</v>
      </c>
      <c r="G64" s="121">
        <f t="shared" si="33"/>
        <v>0.6341955328206782</v>
      </c>
      <c r="H64" s="121">
        <f t="shared" si="33"/>
        <v>0.73056770321464959</v>
      </c>
      <c r="I64" s="121">
        <f t="shared" si="33"/>
        <v>0.76223495263448471</v>
      </c>
      <c r="J64" s="121">
        <f t="shared" si="33"/>
        <v>0.73127935659303445</v>
      </c>
      <c r="K64" s="121">
        <f t="shared" si="33"/>
        <v>0.65723086117776108</v>
      </c>
      <c r="L64" s="121">
        <f t="shared" si="33"/>
        <v>0.75844894199795132</v>
      </c>
      <c r="M64" s="121">
        <f t="shared" si="33"/>
        <v>0.73163021046653554</v>
      </c>
      <c r="N64" s="121">
        <f t="shared" si="33"/>
        <v>0.682006346354047</v>
      </c>
      <c r="O64" s="121">
        <f t="shared" si="33"/>
        <v>0.72912791506843899</v>
      </c>
    </row>
    <row r="65" spans="1:18" s="66" customFormat="1" x14ac:dyDescent="0.2">
      <c r="A65" s="91">
        <v>13</v>
      </c>
      <c r="B65" s="92" t="s">
        <v>241</v>
      </c>
      <c r="C65" s="122" t="s">
        <v>228</v>
      </c>
      <c r="D65" s="121">
        <f t="shared" ref="D65:O65" si="34">+D29/D28</f>
        <v>0.8183398830395362</v>
      </c>
      <c r="E65" s="121">
        <f t="shared" si="34"/>
        <v>0.66048291797674563</v>
      </c>
      <c r="F65" s="121">
        <f t="shared" si="34"/>
        <v>0.8488384295036997</v>
      </c>
      <c r="G65" s="121">
        <f t="shared" si="34"/>
        <v>0.74475369603696795</v>
      </c>
      <c r="H65" s="121">
        <f t="shared" si="34"/>
        <v>0.81435654593041951</v>
      </c>
      <c r="I65" s="121">
        <f t="shared" si="34"/>
        <v>0.85201190543294314</v>
      </c>
      <c r="J65" s="121">
        <f t="shared" si="34"/>
        <v>0.84001771077469123</v>
      </c>
      <c r="K65" s="121">
        <f t="shared" si="34"/>
        <v>0.74947247908564962</v>
      </c>
      <c r="L65" s="121">
        <f t="shared" si="34"/>
        <v>0.86843591211029969</v>
      </c>
      <c r="M65" s="121">
        <f t="shared" si="34"/>
        <v>0.78515411231212773</v>
      </c>
      <c r="N65" s="121">
        <f t="shared" si="34"/>
        <v>0.78843616248740966</v>
      </c>
      <c r="O65" s="121">
        <f t="shared" si="34"/>
        <v>0.83487507807138395</v>
      </c>
      <c r="P65" s="69"/>
      <c r="Q65" s="69"/>
      <c r="R65" s="69"/>
    </row>
    <row r="66" spans="1:18" x14ac:dyDescent="0.2">
      <c r="A66" s="94">
        <v>14</v>
      </c>
      <c r="B66" s="95" t="s">
        <v>242</v>
      </c>
      <c r="C66" s="96" t="s">
        <v>228</v>
      </c>
      <c r="D66" s="121">
        <f t="shared" ref="D66:O66" si="35">+D31/D30</f>
        <v>0.76811936017305882</v>
      </c>
      <c r="E66" s="121">
        <f t="shared" si="35"/>
        <v>0.62356727016648261</v>
      </c>
      <c r="F66" s="121">
        <f t="shared" si="35"/>
        <v>0.84128778574878849</v>
      </c>
      <c r="G66" s="121">
        <f t="shared" si="35"/>
        <v>0.71421135707941608</v>
      </c>
      <c r="H66" s="121">
        <f t="shared" si="35"/>
        <v>0.75685537857696328</v>
      </c>
      <c r="I66" s="121">
        <f t="shared" si="35"/>
        <v>0.82320092468787298</v>
      </c>
      <c r="J66" s="121">
        <f t="shared" si="35"/>
        <v>0.77884241052816161</v>
      </c>
      <c r="K66" s="121">
        <f t="shared" si="35"/>
        <v>0.72548002815789958</v>
      </c>
      <c r="L66" s="121">
        <f t="shared" si="35"/>
        <v>0.79081214917785247</v>
      </c>
      <c r="M66" s="121">
        <f t="shared" si="35"/>
        <v>0.75080681328376431</v>
      </c>
      <c r="N66" s="121">
        <f t="shared" si="35"/>
        <v>0.75659699999560959</v>
      </c>
      <c r="O66" s="121">
        <f t="shared" si="35"/>
        <v>0.78193808641768636</v>
      </c>
    </row>
    <row r="67" spans="1:18" s="66" customFormat="1" x14ac:dyDescent="0.2">
      <c r="A67" s="91">
        <v>15</v>
      </c>
      <c r="B67" s="92" t="s">
        <v>243</v>
      </c>
      <c r="C67" s="122" t="s">
        <v>228</v>
      </c>
      <c r="D67" s="121">
        <f t="shared" ref="D67:O67" si="36">+D33/D32</f>
        <v>0.75596528137521279</v>
      </c>
      <c r="E67" s="121">
        <f t="shared" si="36"/>
        <v>0.60844611863755571</v>
      </c>
      <c r="F67" s="121">
        <f t="shared" si="36"/>
        <v>0.80643817154089092</v>
      </c>
      <c r="G67" s="121">
        <f t="shared" si="36"/>
        <v>0.68769962376682903</v>
      </c>
      <c r="H67" s="121">
        <f t="shared" si="36"/>
        <v>0.75830038138671862</v>
      </c>
      <c r="I67" s="121">
        <f t="shared" si="36"/>
        <v>0.80238519181281531</v>
      </c>
      <c r="J67" s="121">
        <f t="shared" si="36"/>
        <v>0.77226309595748466</v>
      </c>
      <c r="K67" s="121">
        <f t="shared" si="36"/>
        <v>0.70215258558065041</v>
      </c>
      <c r="L67" s="121">
        <f t="shared" si="36"/>
        <v>0.79691786425212374</v>
      </c>
      <c r="M67" s="121">
        <f t="shared" si="36"/>
        <v>0.74955039471337137</v>
      </c>
      <c r="N67" s="121">
        <f t="shared" si="36"/>
        <v>0.72967015547623681</v>
      </c>
      <c r="O67" s="121">
        <f t="shared" si="36"/>
        <v>0.77159708866872601</v>
      </c>
      <c r="P67" s="69"/>
      <c r="Q67" s="69"/>
      <c r="R67" s="69"/>
    </row>
    <row r="68" spans="1:18" s="66" customFormat="1" hidden="1" x14ac:dyDescent="0.2">
      <c r="A68" s="91">
        <v>16</v>
      </c>
      <c r="B68" s="92" t="s">
        <v>244</v>
      </c>
      <c r="C68" s="93" t="s">
        <v>245</v>
      </c>
      <c r="D68" s="123">
        <f t="shared" ref="D68:O68" si="37">+D13/D10</f>
        <v>0</v>
      </c>
      <c r="E68" s="123">
        <f t="shared" si="37"/>
        <v>0</v>
      </c>
      <c r="F68" s="123">
        <f t="shared" si="37"/>
        <v>0</v>
      </c>
      <c r="G68" s="123">
        <f t="shared" si="37"/>
        <v>0</v>
      </c>
      <c r="H68" s="123">
        <f t="shared" si="37"/>
        <v>0</v>
      </c>
      <c r="I68" s="123">
        <f t="shared" si="37"/>
        <v>0</v>
      </c>
      <c r="J68" s="123">
        <f t="shared" si="37"/>
        <v>0</v>
      </c>
      <c r="K68" s="123">
        <f t="shared" si="37"/>
        <v>0</v>
      </c>
      <c r="L68" s="123">
        <f t="shared" si="37"/>
        <v>0</v>
      </c>
      <c r="M68" s="123">
        <f t="shared" si="37"/>
        <v>0</v>
      </c>
      <c r="N68" s="123">
        <f t="shared" si="37"/>
        <v>0</v>
      </c>
      <c r="O68" s="123">
        <f t="shared" si="37"/>
        <v>0</v>
      </c>
      <c r="P68" s="69"/>
      <c r="Q68" s="69"/>
      <c r="R68" s="69"/>
    </row>
    <row r="69" spans="1:18" hidden="1" x14ac:dyDescent="0.2">
      <c r="A69" s="94">
        <v>17</v>
      </c>
      <c r="B69" s="95" t="s">
        <v>246</v>
      </c>
      <c r="C69" s="96" t="s">
        <v>194</v>
      </c>
      <c r="D69" s="124">
        <f t="shared" ref="D69:O69" si="38">+D11-D12-D13</f>
        <v>32178</v>
      </c>
      <c r="E69" s="124">
        <f t="shared" si="38"/>
        <v>25089</v>
      </c>
      <c r="F69" s="124">
        <f t="shared" si="38"/>
        <v>28338</v>
      </c>
      <c r="G69" s="124">
        <f t="shared" si="38"/>
        <v>26278</v>
      </c>
      <c r="H69" s="124">
        <f t="shared" si="38"/>
        <v>24810</v>
      </c>
      <c r="I69" s="124">
        <f t="shared" si="38"/>
        <v>30069</v>
      </c>
      <c r="J69" s="124">
        <f t="shared" si="38"/>
        <v>27132</v>
      </c>
      <c r="K69" s="124">
        <f t="shared" si="38"/>
        <v>28305</v>
      </c>
      <c r="L69" s="124">
        <f t="shared" si="38"/>
        <v>30052</v>
      </c>
      <c r="M69" s="124">
        <f t="shared" si="38"/>
        <v>27009</v>
      </c>
      <c r="N69" s="124">
        <f t="shared" si="38"/>
        <v>30168</v>
      </c>
      <c r="O69" s="124">
        <f t="shared" si="38"/>
        <v>23801</v>
      </c>
    </row>
    <row r="71" spans="1:18" x14ac:dyDescent="0.2">
      <c r="B71" s="277" t="s">
        <v>247</v>
      </c>
      <c r="C71" s="277"/>
      <c r="D71" s="278"/>
      <c r="E71" s="278"/>
      <c r="F71" s="278"/>
      <c r="G71" s="278"/>
      <c r="H71" s="278"/>
      <c r="I71" s="278"/>
      <c r="J71" s="278"/>
    </row>
    <row r="87" spans="2:3" x14ac:dyDescent="0.2">
      <c r="B87" s="277" t="s">
        <v>248</v>
      </c>
      <c r="C87" s="277"/>
    </row>
    <row r="94" spans="2:3" ht="14.25" customHeight="1" x14ac:dyDescent="0.2"/>
  </sheetData>
  <sheetProtection password="9F06" sheet="1" objects="1" scenarios="1"/>
  <mergeCells count="10">
    <mergeCell ref="A52:B52"/>
    <mergeCell ref="B71:C71"/>
    <mergeCell ref="D71:J71"/>
    <mergeCell ref="B87:C87"/>
    <mergeCell ref="A1:J1"/>
    <mergeCell ref="A2:B2"/>
    <mergeCell ref="C2:D2"/>
    <mergeCell ref="E2:F2"/>
    <mergeCell ref="A4:B4"/>
    <mergeCell ref="G2:K2"/>
  </mergeCells>
  <printOptions horizontalCentered="1"/>
  <pageMargins left="0" right="0" top="1.3779527559055118" bottom="0.39370078740157483" header="0.55118110236220474" footer="0.19685039370078741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1"/>
  <sheetViews>
    <sheetView topLeftCell="A31" zoomScaleSheetLayoutView="72" workbookViewId="0">
      <selection activeCell="A42" sqref="A42:M42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" style="3" customWidth="1"/>
    <col min="4" max="4" width="9.5703125" style="3" customWidth="1"/>
    <col min="5" max="5" width="8.85546875" style="3" customWidth="1"/>
    <col min="6" max="6" width="9" style="3" customWidth="1"/>
    <col min="7" max="7" width="9.140625" style="3" customWidth="1"/>
    <col min="8" max="8" width="8.7109375" style="3" customWidth="1"/>
    <col min="9" max="10" width="8.85546875" style="3" customWidth="1"/>
    <col min="11" max="11" width="7.7109375" style="3" customWidth="1"/>
    <col min="12" max="12" width="8.28515625" style="3" customWidth="1"/>
    <col min="13" max="14" width="7.7109375" style="3" customWidth="1"/>
    <col min="15" max="15" width="10.42578125" style="3" customWidth="1"/>
    <col min="16" max="16" width="7.140625" style="3" customWidth="1"/>
    <col min="17" max="18" width="7.140625" style="3" hidden="1" customWidth="1"/>
    <col min="19" max="19" width="7.140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Tarquí'!$B6</f>
        <v>Eficiencia de Recaudo  Corriente</v>
      </c>
      <c r="G4" s="182"/>
      <c r="H4" s="183"/>
      <c r="I4" s="182"/>
      <c r="J4" s="182"/>
      <c r="K4" s="183"/>
      <c r="L4" s="182"/>
      <c r="M4" s="182"/>
      <c r="N4" s="182"/>
      <c r="O4" s="184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Tarquí'!F6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Tarquí'!A6</f>
        <v>IN01</v>
      </c>
      <c r="H6" s="202"/>
      <c r="I6" s="201"/>
      <c r="J6" s="201"/>
      <c r="K6" s="202"/>
      <c r="L6" s="201"/>
      <c r="M6" s="201"/>
      <c r="N6" s="201"/>
      <c r="O6" s="203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6.25" customHeight="1" thickBot="1" x14ac:dyDescent="0.3">
      <c r="A9" s="194" t="str">
        <f>'SET SP Tarquí'!$C6</f>
        <v>Medir la eficiencia en el recaudo corriente de la prestación de los servicios pubicos domiciliarios de Aguas del Huila.</v>
      </c>
      <c r="B9" s="195"/>
      <c r="C9" s="195"/>
      <c r="D9" s="195"/>
      <c r="E9" s="17" t="s">
        <v>35</v>
      </c>
      <c r="F9" s="195" t="str">
        <f>'SET SP Tarquí'!$D6</f>
        <v>(Valor  Recaudado  Corriente Usuario Final / Valor  Facturado Corriente Usuario Final) x100%</v>
      </c>
      <c r="G9" s="195"/>
      <c r="H9" s="14">
        <f>$O16</f>
        <v>0.85</v>
      </c>
      <c r="I9" s="28" t="str">
        <f>'SET SP Tarquí'!$E6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0.78</v>
      </c>
      <c r="D15" s="125">
        <f t="shared" si="0"/>
        <v>0.78</v>
      </c>
      <c r="E15" s="125">
        <f t="shared" si="0"/>
        <v>0.78</v>
      </c>
      <c r="F15" s="125">
        <f t="shared" si="0"/>
        <v>0.78</v>
      </c>
      <c r="G15" s="125">
        <f t="shared" si="0"/>
        <v>0.78</v>
      </c>
      <c r="H15" s="125">
        <f t="shared" si="0"/>
        <v>0.78</v>
      </c>
      <c r="I15" s="125">
        <f t="shared" si="0"/>
        <v>0.78</v>
      </c>
      <c r="J15" s="125">
        <f t="shared" si="0"/>
        <v>0.78</v>
      </c>
      <c r="K15" s="125">
        <f t="shared" si="0"/>
        <v>0.78</v>
      </c>
      <c r="L15" s="125">
        <f t="shared" si="0"/>
        <v>0.78</v>
      </c>
      <c r="M15" s="125">
        <f t="shared" si="0"/>
        <v>0.78</v>
      </c>
      <c r="N15" s="125">
        <f t="shared" si="0"/>
        <v>0.78</v>
      </c>
      <c r="O15" s="126">
        <f>'SET SP Tarquí'!J6</f>
        <v>0.78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0.85</v>
      </c>
      <c r="D16" s="125">
        <f t="shared" si="1"/>
        <v>0.85</v>
      </c>
      <c r="E16" s="125">
        <f t="shared" si="1"/>
        <v>0.85</v>
      </c>
      <c r="F16" s="125">
        <f t="shared" si="1"/>
        <v>0.85</v>
      </c>
      <c r="G16" s="125">
        <f t="shared" si="1"/>
        <v>0.85</v>
      </c>
      <c r="H16" s="125">
        <f t="shared" si="1"/>
        <v>0.85</v>
      </c>
      <c r="I16" s="125">
        <f t="shared" si="1"/>
        <v>0.85</v>
      </c>
      <c r="J16" s="125">
        <f t="shared" si="1"/>
        <v>0.85</v>
      </c>
      <c r="K16" s="125">
        <f t="shared" si="1"/>
        <v>0.85</v>
      </c>
      <c r="L16" s="125">
        <f t="shared" si="1"/>
        <v>0.85</v>
      </c>
      <c r="M16" s="125">
        <f t="shared" si="1"/>
        <v>0.85</v>
      </c>
      <c r="N16" s="125">
        <f t="shared" si="1"/>
        <v>0.85</v>
      </c>
      <c r="O16" s="126">
        <f>'SET SP Tarquí'!K6</f>
        <v>0.85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0.8593135048613697</v>
      </c>
      <c r="D17" s="12">
        <f t="shared" si="2"/>
        <v>0.72426277783584569</v>
      </c>
      <c r="E17" s="12">
        <f t="shared" si="2"/>
        <v>0.91837771619671693</v>
      </c>
      <c r="F17" s="12">
        <f>IF((F19),F18/F19,"-")</f>
        <v>0.80946695429348703</v>
      </c>
      <c r="G17" s="12">
        <f t="shared" ref="G17:O17" si="3">IF((G19),G18/G19,"-")</f>
        <v>0.81786370637772954</v>
      </c>
      <c r="H17" s="12">
        <f t="shared" si="3"/>
        <v>0.89293967613931169</v>
      </c>
      <c r="I17" s="12">
        <f t="shared" si="3"/>
        <v>0.86358011028685533</v>
      </c>
      <c r="J17" s="12">
        <f t="shared" si="3"/>
        <v>0.78828262073482658</v>
      </c>
      <c r="K17" s="12">
        <f t="shared" si="3"/>
        <v>0.87694314512935567</v>
      </c>
      <c r="L17" s="12">
        <f t="shared" si="3"/>
        <v>0.81540666028537689</v>
      </c>
      <c r="M17" s="12">
        <f t="shared" si="3"/>
        <v>0.77479124642233366</v>
      </c>
      <c r="N17" s="12">
        <f t="shared" si="3"/>
        <v>0.84790741061991637</v>
      </c>
      <c r="O17" s="13">
        <f t="shared" si="3"/>
        <v>0.83337370021845558</v>
      </c>
      <c r="V17" s="9"/>
      <c r="W17" s="10"/>
      <c r="X17" s="10"/>
    </row>
    <row r="18" spans="1:24" ht="23.25" customHeight="1" x14ac:dyDescent="0.25">
      <c r="A18" s="243" t="s">
        <v>37</v>
      </c>
      <c r="B18" s="40" t="s">
        <v>131</v>
      </c>
      <c r="C18" s="58">
        <f>'TARQUI-18'!D$15+'TARQUI-18'!D$17+'TARQUI-18'!D$19</f>
        <v>21688901</v>
      </c>
      <c r="D18" s="58">
        <f>'TARQUI-18'!E$15+'TARQUI-18'!E$17+'TARQUI-18'!E$19</f>
        <v>15937330</v>
      </c>
      <c r="E18" s="58">
        <f>'TARQUI-18'!F$15+'TARQUI-18'!F$17+'TARQUI-18'!F$19</f>
        <v>23011244</v>
      </c>
      <c r="F18" s="58">
        <f>'TARQUI-18'!G$15+'TARQUI-18'!G$17+'TARQUI-18'!G$19</f>
        <v>19029893</v>
      </c>
      <c r="G18" s="58">
        <f>'TARQUI-18'!H$15+'TARQUI-18'!H$17+'TARQUI-18'!H$19</f>
        <v>19762300</v>
      </c>
      <c r="H18" s="58">
        <f>'TARQUI-18'!I$15+'TARQUI-18'!I$17+'TARQUI-18'!I$19</f>
        <v>24336511</v>
      </c>
      <c r="I18" s="58">
        <f>'TARQUI-18'!J$15+'TARQUI-18'!J$17+'TARQUI-18'!J$19</f>
        <v>21771390</v>
      </c>
      <c r="J18" s="58">
        <f>'TARQUI-18'!K$15+'TARQUI-18'!K$17+'TARQUI-18'!K$19</f>
        <v>19687066</v>
      </c>
      <c r="K18" s="58">
        <f>'TARQUI-18'!L$15+'TARQUI-18'!L$17+'TARQUI-18'!L$19</f>
        <v>22378150</v>
      </c>
      <c r="L18" s="58">
        <f>'TARQUI-18'!M$15+'TARQUI-18'!M$17+'TARQUI-18'!M$19</f>
        <v>21864156</v>
      </c>
      <c r="M18" s="58">
        <f>'TARQUI-18'!N$15+'TARQUI-18'!N$17+'TARQUI-18'!N$19</f>
        <v>21788705</v>
      </c>
      <c r="N18" s="58">
        <f>'TARQUI-18'!O$15+'TARQUI-18'!O$17+'TARQUI-18'!O$19</f>
        <v>18187374</v>
      </c>
      <c r="O18" s="59">
        <f>SUM(C18:N18)</f>
        <v>249443020</v>
      </c>
      <c r="V18" s="9"/>
      <c r="W18" s="10"/>
      <c r="X18" s="10"/>
    </row>
    <row r="19" spans="1:24" ht="17.25" customHeight="1" x14ac:dyDescent="0.25">
      <c r="A19" s="243"/>
      <c r="B19" s="40" t="s">
        <v>130</v>
      </c>
      <c r="C19" s="58">
        <f>'TARQUI-18'!D$14+'TARQUI-18'!D$16+'TARQUI-18'!D$18</f>
        <v>25239800</v>
      </c>
      <c r="D19" s="58">
        <f>'TARQUI-18'!E$14+'TARQUI-18'!E$16+'TARQUI-18'!E$18</f>
        <v>22004900</v>
      </c>
      <c r="E19" s="58">
        <f>'TARQUI-18'!F$14+'TARQUI-18'!F$16+'TARQUI-18'!F$18</f>
        <v>25056405</v>
      </c>
      <c r="F19" s="58">
        <f>'TARQUI-18'!G$14+'TARQUI-18'!G$16+'TARQUI-18'!G$18</f>
        <v>23509166</v>
      </c>
      <c r="G19" s="58">
        <f>'TARQUI-18'!H$14+'TARQUI-18'!H$16+'TARQUI-18'!H$18</f>
        <v>24163317</v>
      </c>
      <c r="H19" s="58">
        <f>'TARQUI-18'!I$14+'TARQUI-18'!I$16+'TARQUI-18'!I$18</f>
        <v>27254373</v>
      </c>
      <c r="I19" s="58">
        <f>'TARQUI-18'!J$14+'TARQUI-18'!J$16+'TARQUI-18'!J$18</f>
        <v>25210620</v>
      </c>
      <c r="J19" s="58">
        <f>'TARQUI-18'!K$14+'TARQUI-18'!K$16+'TARQUI-18'!K$18</f>
        <v>24974629</v>
      </c>
      <c r="K19" s="58">
        <f>'TARQUI-18'!L$14+'TARQUI-18'!L$16+'TARQUI-18'!L$18</f>
        <v>25518359</v>
      </c>
      <c r="L19" s="58">
        <f>'TARQUI-18'!M$14+'TARQUI-18'!M$16+'TARQUI-18'!M$18</f>
        <v>26813806</v>
      </c>
      <c r="M19" s="58">
        <f>'TARQUI-18'!N$14+'TARQUI-18'!N$16+'TARQUI-18'!N$18</f>
        <v>28122033</v>
      </c>
      <c r="N19" s="58">
        <f>'TARQUI-18'!O$14+'TARQUI-18'!O$16+'TARQUI-18'!O$18</f>
        <v>21449717</v>
      </c>
      <c r="O19" s="59">
        <f>SUM(C19:N19)</f>
        <v>299317125</v>
      </c>
      <c r="V19" s="9"/>
      <c r="W19" s="10"/>
      <c r="X19" s="10"/>
    </row>
    <row r="20" spans="1:24" ht="17.25" customHeight="1" x14ac:dyDescent="0.25">
      <c r="A20" s="243"/>
      <c r="B20" s="4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4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Tarquí'!$G6</f>
        <v>Entre 80% y 100%</v>
      </c>
      <c r="E22" s="235"/>
      <c r="F22" s="235"/>
      <c r="G22" s="236"/>
      <c r="H22" s="234" t="str">
        <f>'SET SP Tarquí'!$H6</f>
        <v>Entre 60% y 79%</v>
      </c>
      <c r="I22" s="235"/>
      <c r="J22" s="235"/>
      <c r="K22" s="236"/>
      <c r="L22" s="234" t="str">
        <f>'SET SP Tarquí'!$I6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x14ac:dyDescent="0.25">
      <c r="A27" s="158" t="s">
        <v>271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x14ac:dyDescent="0.25">
      <c r="A28" s="158" t="s">
        <v>272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x14ac:dyDescent="0.25">
      <c r="A29" s="158" t="s">
        <v>273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x14ac:dyDescent="0.25">
      <c r="A30" s="158" t="s">
        <v>274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x14ac:dyDescent="0.25">
      <c r="A31" s="158" t="s">
        <v>274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x14ac:dyDescent="0.2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.75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275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1"/>
    </row>
    <row r="41" spans="1:17" ht="15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1"/>
    </row>
    <row r="42" spans="1:17" ht="15" x14ac:dyDescent="0.2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61"/>
    </row>
    <row r="43" spans="1:17" ht="15.75" thickBot="1" x14ac:dyDescent="0.3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4"/>
    </row>
    <row r="44" spans="1:17" ht="7.5" customHeight="1" x14ac:dyDescent="0.25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</row>
    <row r="46" spans="1:17" ht="14.25" x14ac:dyDescent="0.2">
      <c r="Q46" s="49" t="s">
        <v>81</v>
      </c>
    </row>
    <row r="47" spans="1:17" ht="14.25" x14ac:dyDescent="0.2">
      <c r="Q47" s="49" t="s">
        <v>82</v>
      </c>
    </row>
    <row r="48" spans="1:17" ht="14.25" x14ac:dyDescent="0.2">
      <c r="Q48" s="49" t="s">
        <v>83</v>
      </c>
    </row>
    <row r="49" spans="17:17" ht="14.25" x14ac:dyDescent="0.2">
      <c r="Q49" s="49" t="s">
        <v>84</v>
      </c>
    </row>
    <row r="50" spans="17:17" ht="14.25" x14ac:dyDescent="0.2">
      <c r="Q50" s="49" t="s">
        <v>85</v>
      </c>
    </row>
    <row r="51" spans="17:17" ht="14.25" x14ac:dyDescent="0.2">
      <c r="Q51" s="49" t="s">
        <v>86</v>
      </c>
    </row>
    <row r="52" spans="17:17" ht="14.25" x14ac:dyDescent="0.2">
      <c r="Q52" s="49" t="s">
        <v>87</v>
      </c>
    </row>
    <row r="53" spans="17:17" ht="14.25" x14ac:dyDescent="0.2">
      <c r="Q53" s="49" t="s">
        <v>88</v>
      </c>
    </row>
    <row r="54" spans="17:17" ht="14.25" x14ac:dyDescent="0.2">
      <c r="Q54" s="49" t="s">
        <v>89</v>
      </c>
    </row>
    <row r="55" spans="17:17" ht="14.25" x14ac:dyDescent="0.2">
      <c r="Q55" s="49" t="s">
        <v>90</v>
      </c>
    </row>
    <row r="56" spans="17:17" ht="14.25" x14ac:dyDescent="0.2">
      <c r="Q56" s="49" t="s">
        <v>91</v>
      </c>
    </row>
    <row r="57" spans="17:17" ht="14.25" x14ac:dyDescent="0.2">
      <c r="Q57" s="49" t="s">
        <v>92</v>
      </c>
    </row>
    <row r="58" spans="17:17" ht="14.25" x14ac:dyDescent="0.2">
      <c r="Q58" s="49" t="s">
        <v>93</v>
      </c>
    </row>
    <row r="60" spans="17:17" x14ac:dyDescent="0.25">
      <c r="Q60" s="11">
        <v>0.85</v>
      </c>
    </row>
    <row r="61" spans="17:17" x14ac:dyDescent="0.25">
      <c r="Q61" s="11">
        <v>0.9</v>
      </c>
    </row>
  </sheetData>
  <mergeCells count="78">
    <mergeCell ref="N38:O38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N34:O34"/>
    <mergeCell ref="N35:O35"/>
    <mergeCell ref="N36:O36"/>
    <mergeCell ref="N37:O37"/>
    <mergeCell ref="A44:O44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  <mergeCell ref="L23:O23"/>
    <mergeCell ref="A24:O24"/>
    <mergeCell ref="A10:O10"/>
    <mergeCell ref="A11:O11"/>
    <mergeCell ref="A12:O12"/>
    <mergeCell ref="A13:O13"/>
    <mergeCell ref="A14:B14"/>
    <mergeCell ref="A5:E5"/>
    <mergeCell ref="N8:O8"/>
    <mergeCell ref="F5:O5"/>
    <mergeCell ref="A9:D9"/>
    <mergeCell ref="F9:G9"/>
    <mergeCell ref="J9:O9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1:C2"/>
    <mergeCell ref="A3:E3"/>
    <mergeCell ref="F3:O3"/>
    <mergeCell ref="A4:E4"/>
    <mergeCell ref="F4:O4"/>
    <mergeCell ref="D1:O1"/>
    <mergeCell ref="D2:O2"/>
    <mergeCell ref="N29:O29"/>
    <mergeCell ref="N30:O30"/>
    <mergeCell ref="N31:O31"/>
    <mergeCell ref="N32:O32"/>
    <mergeCell ref="N33:O33"/>
    <mergeCell ref="A26:M26"/>
    <mergeCell ref="N26:O26"/>
    <mergeCell ref="A27:M27"/>
    <mergeCell ref="N27:O27"/>
    <mergeCell ref="N28:O28"/>
    <mergeCell ref="A41:M41"/>
    <mergeCell ref="N41:O41"/>
    <mergeCell ref="A42:M42"/>
    <mergeCell ref="N42:O42"/>
    <mergeCell ref="A43:M43"/>
    <mergeCell ref="N43:O43"/>
  </mergeCells>
  <dataValidations disablePrompts="1" count="1">
    <dataValidation type="list" allowBlank="1" showInputMessage="1" showErrorMessage="1" sqref="J9:O9">
      <formula1>$Q$46:$Q$58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0"/>
  <sheetViews>
    <sheetView topLeftCell="A26" zoomScaleSheetLayoutView="72" workbookViewId="0">
      <selection activeCell="A40" sqref="A40:M40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8.85546875" style="3" customWidth="1"/>
    <col min="4" max="4" width="9.140625" style="3" customWidth="1"/>
    <col min="5" max="5" width="8.85546875" style="3" customWidth="1"/>
    <col min="6" max="6" width="9.28515625" style="3" customWidth="1"/>
    <col min="7" max="8" width="9" style="3" customWidth="1"/>
    <col min="9" max="9" width="9.7109375" style="3" customWidth="1"/>
    <col min="10" max="10" width="9.28515625" style="3" customWidth="1"/>
    <col min="11" max="11" width="7.7109375" style="3" customWidth="1"/>
    <col min="12" max="12" width="8.28515625" style="3" customWidth="1"/>
    <col min="13" max="14" width="7.7109375" style="3" customWidth="1"/>
    <col min="15" max="15" width="10.28515625" style="3" customWidth="1"/>
    <col min="16" max="16" width="8" style="3" customWidth="1"/>
    <col min="17" max="18" width="8" style="3" hidden="1" customWidth="1"/>
    <col min="19" max="19" width="8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Tarquí'!$B7</f>
        <v>Eficiencia de Recaudo Total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Tarquí'!F7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Tarquí'!A7</f>
        <v>IN02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45" customHeight="1" thickBot="1" x14ac:dyDescent="0.3">
      <c r="A9" s="194" t="str">
        <f>'SET SP Tarquí'!$C7</f>
        <v>Medir la eficiencia en el recaudo total de la prestación de los servicios pubicos domiciliarios de Aguas del Huila.</v>
      </c>
      <c r="B9" s="195"/>
      <c r="C9" s="195"/>
      <c r="D9" s="195"/>
      <c r="E9" s="17" t="s">
        <v>35</v>
      </c>
      <c r="F9" s="195" t="str">
        <f>'SET SP Tarquí'!$D7</f>
        <v>(Valor  Recaudado  Total Usuario Final / Valor  total Facturado usuario Final) x100%</v>
      </c>
      <c r="G9" s="195"/>
      <c r="H9" s="14">
        <f>$O16</f>
        <v>0.75</v>
      </c>
      <c r="I9" s="28" t="str">
        <f>'SET SP Tarquí'!$E7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35.2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60" t="s">
        <v>31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2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0.64</v>
      </c>
      <c r="D15" s="127">
        <f t="shared" si="0"/>
        <v>0.64</v>
      </c>
      <c r="E15" s="127">
        <f t="shared" si="0"/>
        <v>0.64</v>
      </c>
      <c r="F15" s="127">
        <f t="shared" si="0"/>
        <v>0.64</v>
      </c>
      <c r="G15" s="127">
        <f t="shared" si="0"/>
        <v>0.64</v>
      </c>
      <c r="H15" s="127">
        <f t="shared" si="0"/>
        <v>0.64</v>
      </c>
      <c r="I15" s="127">
        <f t="shared" si="0"/>
        <v>0.64</v>
      </c>
      <c r="J15" s="127">
        <f t="shared" si="0"/>
        <v>0.64</v>
      </c>
      <c r="K15" s="127">
        <f t="shared" si="0"/>
        <v>0.64</v>
      </c>
      <c r="L15" s="127">
        <f t="shared" si="0"/>
        <v>0.64</v>
      </c>
      <c r="M15" s="127">
        <f t="shared" si="0"/>
        <v>0.64</v>
      </c>
      <c r="N15" s="127">
        <f t="shared" si="0"/>
        <v>0.64</v>
      </c>
      <c r="O15" s="126">
        <f>'SET SP Tarquí'!J7</f>
        <v>0.64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0.75</v>
      </c>
      <c r="D16" s="127">
        <f t="shared" si="1"/>
        <v>0.75</v>
      </c>
      <c r="E16" s="127">
        <f t="shared" si="1"/>
        <v>0.75</v>
      </c>
      <c r="F16" s="127">
        <f t="shared" si="1"/>
        <v>0.75</v>
      </c>
      <c r="G16" s="127">
        <f t="shared" si="1"/>
        <v>0.75</v>
      </c>
      <c r="H16" s="127">
        <f t="shared" si="1"/>
        <v>0.75</v>
      </c>
      <c r="I16" s="127">
        <f t="shared" si="1"/>
        <v>0.75</v>
      </c>
      <c r="J16" s="127">
        <f t="shared" si="1"/>
        <v>0.75</v>
      </c>
      <c r="K16" s="127">
        <f t="shared" si="1"/>
        <v>0.75</v>
      </c>
      <c r="L16" s="127">
        <f t="shared" si="1"/>
        <v>0.75</v>
      </c>
      <c r="M16" s="127">
        <f t="shared" si="1"/>
        <v>0.75</v>
      </c>
      <c r="N16" s="127">
        <f t="shared" si="1"/>
        <v>0.75</v>
      </c>
      <c r="O16" s="126">
        <f>'SET SP Tarquí'!K7</f>
        <v>0.75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0.75596528137521279</v>
      </c>
      <c r="D17" s="12">
        <f t="shared" si="2"/>
        <v>0.60844611863755571</v>
      </c>
      <c r="E17" s="12">
        <f t="shared" si="2"/>
        <v>0.80643817154089092</v>
      </c>
      <c r="F17" s="12">
        <f>IF((F19),F18/F19,"-")</f>
        <v>0.68769962376682903</v>
      </c>
      <c r="G17" s="12">
        <f t="shared" ref="G17:O17" si="3">IF((G19),G18/G19,"-")</f>
        <v>0.75830038138671862</v>
      </c>
      <c r="H17" s="12">
        <f t="shared" si="3"/>
        <v>0.80238519181281531</v>
      </c>
      <c r="I17" s="12">
        <f t="shared" si="3"/>
        <v>0.77226309595748466</v>
      </c>
      <c r="J17" s="12">
        <f t="shared" si="3"/>
        <v>0.70215258558065041</v>
      </c>
      <c r="K17" s="12">
        <f t="shared" si="3"/>
        <v>0.79691786425212374</v>
      </c>
      <c r="L17" s="12">
        <f t="shared" si="3"/>
        <v>0.74955039471337137</v>
      </c>
      <c r="M17" s="12">
        <f t="shared" si="3"/>
        <v>0.72967015547623681</v>
      </c>
      <c r="N17" s="12">
        <f t="shared" si="3"/>
        <v>0.77159708866872601</v>
      </c>
      <c r="O17" s="13">
        <f t="shared" si="3"/>
        <v>0.74677125539876732</v>
      </c>
      <c r="V17" s="9"/>
      <c r="W17" s="10"/>
      <c r="X17" s="10"/>
    </row>
    <row r="18" spans="1:24" ht="18.75" customHeight="1" x14ac:dyDescent="0.25">
      <c r="A18" s="243" t="s">
        <v>37</v>
      </c>
      <c r="B18" s="40" t="s">
        <v>133</v>
      </c>
      <c r="C18" s="58">
        <f>'TARQUI-18'!D$27+'TARQUI-18'!D$29+'TARQUI-18'!D$31</f>
        <v>25027100</v>
      </c>
      <c r="D18" s="58">
        <f>'TARQUI-18'!E$27+'TARQUI-18'!E$29+'TARQUI-18'!E$31</f>
        <v>18211705</v>
      </c>
      <c r="E18" s="58">
        <f>'TARQUI-18'!F$27+'TARQUI-18'!F$29+'TARQUI-18'!F$31</f>
        <v>28063000</v>
      </c>
      <c r="F18" s="58">
        <f>'TARQUI-18'!G$27+'TARQUI-18'!G$29+'TARQUI-18'!G$31</f>
        <v>22031500</v>
      </c>
      <c r="G18" s="58">
        <f>'TARQUI-18'!H$27+'TARQUI-18'!H$29+'TARQUI-18'!H$31</f>
        <v>26157900</v>
      </c>
      <c r="H18" s="58">
        <f>'TARQUI-18'!I$27+'TARQUI-18'!I$29+'TARQUI-18'!I$31</f>
        <v>27771800</v>
      </c>
      <c r="I18" s="58">
        <f>'TARQUI-18'!J$27+'TARQUI-18'!J$29+'TARQUI-18'!J$31</f>
        <v>25526250</v>
      </c>
      <c r="J18" s="58">
        <f>'TARQUI-18'!K$27+'TARQUI-18'!K$29+'TARQUI-18'!K$31</f>
        <v>22796300</v>
      </c>
      <c r="K18" s="58">
        <f>'TARQUI-18'!L$27+'TARQUI-18'!L$29+'TARQUI-18'!L$31</f>
        <v>26895750</v>
      </c>
      <c r="L18" s="58">
        <f>'TARQUI-18'!M$27+'TARQUI-18'!M$29+'TARQUI-18'!M$31</f>
        <v>26094750</v>
      </c>
      <c r="M18" s="58">
        <f>'TARQUI-18'!N$27+'TARQUI-18'!N$29+'TARQUI-18'!N$31</f>
        <v>27121550</v>
      </c>
      <c r="N18" s="58">
        <f>'TARQUI-18'!O$27+'TARQUI-18'!O$29+'TARQUI-18'!O$31</f>
        <v>24301350</v>
      </c>
      <c r="O18" s="59">
        <f>SUM(C18:N18)</f>
        <v>299998955</v>
      </c>
      <c r="V18" s="9"/>
      <c r="W18" s="10"/>
      <c r="X18" s="10"/>
    </row>
    <row r="19" spans="1:24" ht="15.75" customHeight="1" x14ac:dyDescent="0.25">
      <c r="A19" s="243"/>
      <c r="B19" s="40" t="s">
        <v>132</v>
      </c>
      <c r="C19" s="58">
        <f>'TARQUI-18'!D$26+'TARQUI-18'!D$28+'TARQUI-18'!D$30</f>
        <v>33106150</v>
      </c>
      <c r="D19" s="58">
        <f>'TARQUI-18'!E$26+'TARQUI-18'!E$28+'TARQUI-18'!E$30</f>
        <v>29931500</v>
      </c>
      <c r="E19" s="58">
        <f>'TARQUI-18'!F$26+'TARQUI-18'!F$28+'TARQUI-18'!F$30</f>
        <v>34798700</v>
      </c>
      <c r="F19" s="58">
        <f>'TARQUI-18'!G$26+'TARQUI-18'!G$28+'TARQUI-18'!G$30</f>
        <v>32036516</v>
      </c>
      <c r="G19" s="58">
        <f>'TARQUI-18'!H$26+'TARQUI-18'!H$28+'TARQUI-18'!H$30</f>
        <v>34495433</v>
      </c>
      <c r="H19" s="58">
        <f>'TARQUI-18'!I$26+'TARQUI-18'!I$28+'TARQUI-18'!I$30</f>
        <v>34611556</v>
      </c>
      <c r="I19" s="58">
        <f>'TARQUI-18'!J$26+'TARQUI-18'!J$28+'TARQUI-18'!J$30</f>
        <v>33053826</v>
      </c>
      <c r="J19" s="58">
        <f>'TARQUI-18'!K$26+'TARQUI-18'!K$28+'TARQUI-18'!K$30</f>
        <v>32466305</v>
      </c>
      <c r="K19" s="58">
        <f>'TARQUI-18'!L$26+'TARQUI-18'!L$28+'TARQUI-18'!L$30</f>
        <v>33749714</v>
      </c>
      <c r="L19" s="58">
        <f>'TARQUI-18'!M$26+'TARQUI-18'!M$28+'TARQUI-18'!M$30</f>
        <v>34813870</v>
      </c>
      <c r="M19" s="58">
        <f>'TARQUI-18'!N$26+'TARQUI-18'!N$28+'TARQUI-18'!N$30</f>
        <v>37169603</v>
      </c>
      <c r="N19" s="58">
        <f>'TARQUI-18'!O$26+'TARQUI-18'!O$28+'TARQUI-18'!O$30</f>
        <v>31494870</v>
      </c>
      <c r="O19" s="59">
        <f>SUM(C19:N19)</f>
        <v>401728043</v>
      </c>
      <c r="V19" s="9"/>
      <c r="W19" s="10"/>
      <c r="X19" s="10"/>
    </row>
    <row r="20" spans="1:24" ht="17.2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33" customHeight="1" thickBot="1" x14ac:dyDescent="0.3">
      <c r="A22" s="245" t="s">
        <v>34</v>
      </c>
      <c r="B22" s="246"/>
      <c r="C22" s="247"/>
      <c r="D22" s="266" t="str">
        <f>'SET SP Tarquí'!$G7</f>
        <v>Entre 71% y 100%</v>
      </c>
      <c r="E22" s="267"/>
      <c r="F22" s="267"/>
      <c r="G22" s="268"/>
      <c r="H22" s="266" t="str">
        <f>'SET SP Tarquí'!$H7</f>
        <v>Entre 60% y 70%</v>
      </c>
      <c r="I22" s="267"/>
      <c r="J22" s="267"/>
      <c r="K22" s="268"/>
      <c r="L22" s="255" t="str">
        <f>'SET SP Tarquí'!$I7</f>
        <v>Menor al 59%</v>
      </c>
      <c r="M22" s="256"/>
      <c r="N22" s="256"/>
      <c r="O22" s="257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276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277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278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279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279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8.75" customHeight="1" x14ac:dyDescent="0.25">
      <c r="A40" s="158" t="s">
        <v>280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1"/>
    </row>
    <row r="41" spans="1:17" ht="18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1"/>
    </row>
    <row r="42" spans="1:17" ht="16.5" customHeight="1" thickBot="1" x14ac:dyDescent="0.3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4"/>
    </row>
    <row r="43" spans="1:17" ht="6.75" customHeight="1" x14ac:dyDescent="0.25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</row>
    <row r="45" spans="1:17" ht="14.25" x14ac:dyDescent="0.2">
      <c r="Q45" s="49"/>
    </row>
    <row r="46" spans="1:17" ht="14.25" x14ac:dyDescent="0.2">
      <c r="Q46" s="49"/>
    </row>
    <row r="47" spans="1:17" ht="14.25" x14ac:dyDescent="0.2">
      <c r="Q47" s="49"/>
    </row>
    <row r="48" spans="1:17" ht="14.25" x14ac:dyDescent="0.2">
      <c r="Q48" s="49"/>
    </row>
    <row r="49" spans="17:17" ht="14.25" x14ac:dyDescent="0.2">
      <c r="Q49" s="49"/>
    </row>
    <row r="50" spans="17:17" ht="14.25" x14ac:dyDescent="0.2">
      <c r="Q50" s="49"/>
    </row>
    <row r="51" spans="17:17" ht="14.25" x14ac:dyDescent="0.2">
      <c r="Q51" s="49"/>
    </row>
    <row r="52" spans="17:17" ht="14.25" x14ac:dyDescent="0.2">
      <c r="Q52" s="49"/>
    </row>
    <row r="53" spans="17:17" ht="14.25" x14ac:dyDescent="0.2">
      <c r="Q53" s="49"/>
    </row>
    <row r="54" spans="17:17" ht="14.25" x14ac:dyDescent="0.2">
      <c r="Q54" s="49"/>
    </row>
    <row r="55" spans="17:17" ht="14.25" x14ac:dyDescent="0.2">
      <c r="Q55" s="49"/>
    </row>
    <row r="56" spans="17:17" ht="14.25" x14ac:dyDescent="0.2">
      <c r="Q56" s="49"/>
    </row>
    <row r="57" spans="17:17" ht="14.25" x14ac:dyDescent="0.2">
      <c r="Q57" s="49"/>
    </row>
    <row r="59" spans="17:17" x14ac:dyDescent="0.25">
      <c r="Q59" s="44"/>
    </row>
    <row r="60" spans="17:17" x14ac:dyDescent="0.25">
      <c r="Q60" s="44"/>
    </row>
  </sheetData>
  <mergeCells count="76">
    <mergeCell ref="N37:O37"/>
    <mergeCell ref="N38:O38"/>
    <mergeCell ref="N32:O32"/>
    <mergeCell ref="N33:O33"/>
    <mergeCell ref="N34:O34"/>
    <mergeCell ref="N35:O35"/>
    <mergeCell ref="N36:O36"/>
    <mergeCell ref="A34:M34"/>
    <mergeCell ref="A35:M35"/>
    <mergeCell ref="A36:M36"/>
    <mergeCell ref="N27:O27"/>
    <mergeCell ref="N28:O28"/>
    <mergeCell ref="N29:O29"/>
    <mergeCell ref="N30:O30"/>
    <mergeCell ref="N31:O31"/>
    <mergeCell ref="A43:O43"/>
    <mergeCell ref="A25:O25"/>
    <mergeCell ref="H22:K22"/>
    <mergeCell ref="A22:C23"/>
    <mergeCell ref="D22:G22"/>
    <mergeCell ref="A24:O24"/>
    <mergeCell ref="A42:M42"/>
    <mergeCell ref="N42:O42"/>
    <mergeCell ref="A26:M26"/>
    <mergeCell ref="N26:O26"/>
    <mergeCell ref="N39:O39"/>
    <mergeCell ref="A39:M39"/>
    <mergeCell ref="N40:O40"/>
    <mergeCell ref="A40:M40"/>
    <mergeCell ref="L23:O23"/>
    <mergeCell ref="A27:M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A14:B14"/>
    <mergeCell ref="I7:I8"/>
    <mergeCell ref="J7:K8"/>
    <mergeCell ref="L7:O7"/>
    <mergeCell ref="L8:M8"/>
    <mergeCell ref="H7:H8"/>
    <mergeCell ref="N8:O8"/>
    <mergeCell ref="D1:O1"/>
    <mergeCell ref="D2:O2"/>
    <mergeCell ref="A3:E3"/>
    <mergeCell ref="F3:O3"/>
    <mergeCell ref="A4:E4"/>
    <mergeCell ref="F4:O4"/>
    <mergeCell ref="A1:C2"/>
    <mergeCell ref="A41:M41"/>
    <mergeCell ref="N41:O41"/>
    <mergeCell ref="A9:D9"/>
    <mergeCell ref="F9:G9"/>
    <mergeCell ref="L22:O22"/>
    <mergeCell ref="D23:G23"/>
    <mergeCell ref="H23:K23"/>
    <mergeCell ref="A11:O11"/>
    <mergeCell ref="A28:M28"/>
    <mergeCell ref="A29:M29"/>
    <mergeCell ref="A30:M30"/>
    <mergeCell ref="A31:M31"/>
    <mergeCell ref="A37:M37"/>
    <mergeCell ref="A38:M38"/>
    <mergeCell ref="A32:M32"/>
    <mergeCell ref="A33:M33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28" zoomScaleSheetLayoutView="72" workbookViewId="0">
      <selection activeCell="C45" sqref="C4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9" style="3" customWidth="1"/>
    <col min="4" max="4" width="9" style="3" bestFit="1" customWidth="1"/>
    <col min="5" max="5" width="10" style="3" customWidth="1"/>
    <col min="6" max="6" width="9" style="3" bestFit="1" customWidth="1"/>
    <col min="7" max="7" width="9.85546875" style="3" customWidth="1"/>
    <col min="8" max="8" width="9.85546875" style="3" bestFit="1" customWidth="1"/>
    <col min="9" max="9" width="9.7109375" style="3" customWidth="1"/>
    <col min="10" max="10" width="8" style="3" customWidth="1"/>
    <col min="11" max="11" width="7.5703125" style="3" customWidth="1"/>
    <col min="12" max="12" width="8.28515625" style="3" customWidth="1"/>
    <col min="13" max="14" width="7.7109375" style="3" customWidth="1"/>
    <col min="15" max="15" width="10.140625" style="3" customWidth="1"/>
    <col min="16" max="16" width="6.5703125" style="3" customWidth="1"/>
    <col min="17" max="18" width="6.5703125" style="3" hidden="1" customWidth="1"/>
    <col min="19" max="19" width="6.57031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Tarquí'!$B8</f>
        <v xml:space="preserve">Rotación de Cartera 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Tarquí'!F8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Tarquí'!A8</f>
        <v>IN03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7" customHeight="1" thickBot="1" x14ac:dyDescent="0.3">
      <c r="A9" s="194" t="str">
        <f>'SET SP Tarquí'!$C8</f>
        <v>Controlar la cartera existentes de servicios publicos por edades con el fin de evaluar la rotación de la misma.</v>
      </c>
      <c r="B9" s="195"/>
      <c r="C9" s="195"/>
      <c r="D9" s="195"/>
      <c r="E9" s="17" t="s">
        <v>112</v>
      </c>
      <c r="F9" s="195" t="str">
        <f>'SET SP Tarquí'!$D8</f>
        <v>(Cuentas por Cobrar  a particulares y/o oficiales /  Valor Facturado Usuarios particulares y/o oficiales) x 365</v>
      </c>
      <c r="G9" s="195"/>
      <c r="H9" s="14">
        <f>$O16</f>
        <v>15</v>
      </c>
      <c r="I9" s="36" t="str">
        <f>'SET SP Tarquí'!$E8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60" t="s">
        <v>31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2"/>
      <c r="V12" s="9"/>
      <c r="W12" s="35"/>
      <c r="X12" s="35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8">
        <f t="shared" ref="C15:N15" si="0">$O$15</f>
        <v>16</v>
      </c>
      <c r="D15" s="128">
        <f t="shared" si="0"/>
        <v>16</v>
      </c>
      <c r="E15" s="128">
        <f t="shared" si="0"/>
        <v>16</v>
      </c>
      <c r="F15" s="128">
        <f t="shared" si="0"/>
        <v>16</v>
      </c>
      <c r="G15" s="128">
        <f t="shared" si="0"/>
        <v>16</v>
      </c>
      <c r="H15" s="128">
        <f t="shared" si="0"/>
        <v>16</v>
      </c>
      <c r="I15" s="128">
        <f t="shared" si="0"/>
        <v>16</v>
      </c>
      <c r="J15" s="128">
        <f t="shared" si="0"/>
        <v>16</v>
      </c>
      <c r="K15" s="128">
        <f t="shared" si="0"/>
        <v>16</v>
      </c>
      <c r="L15" s="128">
        <f t="shared" si="0"/>
        <v>16</v>
      </c>
      <c r="M15" s="128">
        <f t="shared" si="0"/>
        <v>16</v>
      </c>
      <c r="N15" s="128">
        <f t="shared" si="0"/>
        <v>16</v>
      </c>
      <c r="O15" s="129">
        <f>'SET SP Tarquí'!J8</f>
        <v>16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8">
        <f t="shared" ref="C16:N16" si="1">$O$16</f>
        <v>15</v>
      </c>
      <c r="D16" s="128">
        <f t="shared" si="1"/>
        <v>15</v>
      </c>
      <c r="E16" s="128">
        <f t="shared" si="1"/>
        <v>15</v>
      </c>
      <c r="F16" s="128">
        <f t="shared" si="1"/>
        <v>15</v>
      </c>
      <c r="G16" s="128">
        <f t="shared" si="1"/>
        <v>15</v>
      </c>
      <c r="H16" s="128">
        <f t="shared" si="1"/>
        <v>15</v>
      </c>
      <c r="I16" s="128">
        <f t="shared" si="1"/>
        <v>15</v>
      </c>
      <c r="J16" s="128">
        <f t="shared" si="1"/>
        <v>15</v>
      </c>
      <c r="K16" s="128">
        <f t="shared" si="1"/>
        <v>15</v>
      </c>
      <c r="L16" s="128">
        <f t="shared" si="1"/>
        <v>15</v>
      </c>
      <c r="M16" s="128">
        <f t="shared" si="1"/>
        <v>15</v>
      </c>
      <c r="N16" s="128">
        <f t="shared" si="1"/>
        <v>15</v>
      </c>
      <c r="O16" s="129">
        <f>'SET SP Tarquí'!K8</f>
        <v>15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55">
        <f>IF((C20),(C18/C20)*30,"-")</f>
        <v>9.6027504179906344</v>
      </c>
      <c r="D17" s="55">
        <f>IF((D20),(D18/D20)*60,"-")</f>
        <v>14.883948887388426</v>
      </c>
      <c r="E17" s="55">
        <f>IF((E20),(E18/E20)*90,"-")</f>
        <v>8.3845606509056818</v>
      </c>
      <c r="F17" s="55">
        <f>IF((F20),(F18/F20)*120,"-")</f>
        <v>12.531035633956197</v>
      </c>
      <c r="G17" s="55">
        <f>IF((G20),(G18/G20)*150,"-")</f>
        <v>10.424210618757188</v>
      </c>
      <c r="H17" s="55">
        <f>IF((H20),(H18/H20)*180,"-")</f>
        <v>8.3622436365874826</v>
      </c>
      <c r="I17" s="55">
        <f>IF((I20),(I18/I20)*220,"-")</f>
        <v>9.6038062386978229</v>
      </c>
      <c r="J17" s="55">
        <f>IF((J20),(J18/J20)*250,"-")</f>
        <v>12.245894031103592</v>
      </c>
      <c r="K17" s="55">
        <f>IF((K20),(K18/K20)*280,"-")</f>
        <v>8.6085157369524463</v>
      </c>
      <c r="L17" s="55">
        <f>IF((L20),(L18/L20)*310,"-")</f>
        <v>10.822731752289707</v>
      </c>
      <c r="M17" s="55">
        <f>IF((M20),(M18/M20)*330,"-")</f>
        <v>11.933236480904592</v>
      </c>
      <c r="N17" s="55">
        <f>IF((N20),(N18/N20)*365,"-")</f>
        <v>8.7720834549643634</v>
      </c>
      <c r="O17" s="56">
        <f t="shared" ref="O17" si="2">IF((O20),(O18/O20)*365,"-")</f>
        <v>10.337730458957202</v>
      </c>
      <c r="V17" s="9"/>
      <c r="W17" s="10"/>
      <c r="X17" s="10"/>
    </row>
    <row r="18" spans="1:24" ht="24.75" customHeight="1" x14ac:dyDescent="0.25">
      <c r="A18" s="243" t="s">
        <v>37</v>
      </c>
      <c r="B18" s="40" t="s">
        <v>134</v>
      </c>
      <c r="C18" s="58">
        <f>+'TARQUI-18'!D37</f>
        <v>8079050</v>
      </c>
      <c r="D18" s="58">
        <f>+'TARQUI-18'!E37</f>
        <v>11719795</v>
      </c>
      <c r="E18" s="58">
        <f>+'TARQUI-18'!F37</f>
        <v>6735700</v>
      </c>
      <c r="F18" s="58">
        <f>+'TARQUI-18'!G37</f>
        <v>10005016</v>
      </c>
      <c r="G18" s="58">
        <f>+'TARQUI-18'!H37</f>
        <v>8337533</v>
      </c>
      <c r="H18" s="58">
        <f>+'TARQUI-18'!I37</f>
        <v>6839756</v>
      </c>
      <c r="I18" s="58">
        <f>+'TARQUI-18'!J37</f>
        <v>7527576</v>
      </c>
      <c r="J18" s="58">
        <f>+'TARQUI-18'!K37</f>
        <v>9670005</v>
      </c>
      <c r="K18" s="58">
        <f>+'TARQUI-18'!L37</f>
        <v>6853964</v>
      </c>
      <c r="L18" s="58">
        <f>+'TARQUI-18'!M37</f>
        <v>8719120</v>
      </c>
      <c r="M18" s="58">
        <f>+'TARQUI-18'!N37</f>
        <v>10048053</v>
      </c>
      <c r="N18" s="58">
        <f>+'TARQUI-18'!O37</f>
        <v>7193520</v>
      </c>
      <c r="O18" s="59">
        <f>AVERAGE(C18:N18)</f>
        <v>8477424</v>
      </c>
      <c r="V18" s="9"/>
      <c r="W18" s="10"/>
      <c r="X18" s="10"/>
    </row>
    <row r="19" spans="1:24" ht="24.75" customHeight="1" x14ac:dyDescent="0.25">
      <c r="A19" s="243"/>
      <c r="B19" s="40" t="s">
        <v>249</v>
      </c>
      <c r="C19" s="58">
        <f>'01'!C19</f>
        <v>25239800</v>
      </c>
      <c r="D19" s="58">
        <f>'01'!D19</f>
        <v>22004900</v>
      </c>
      <c r="E19" s="58">
        <f>'01'!E19</f>
        <v>25056405</v>
      </c>
      <c r="F19" s="58">
        <f>'01'!F19</f>
        <v>23509166</v>
      </c>
      <c r="G19" s="58">
        <f>'01'!G19</f>
        <v>24163317</v>
      </c>
      <c r="H19" s="58">
        <f>'01'!H19</f>
        <v>27254373</v>
      </c>
      <c r="I19" s="58">
        <f>'01'!I19</f>
        <v>25210620</v>
      </c>
      <c r="J19" s="58">
        <f>'01'!J19</f>
        <v>24974629</v>
      </c>
      <c r="K19" s="58">
        <f>'01'!K19</f>
        <v>25518359</v>
      </c>
      <c r="L19" s="58">
        <f>'01'!L19</f>
        <v>26813806</v>
      </c>
      <c r="M19" s="58">
        <f>'01'!M19</f>
        <v>28122033</v>
      </c>
      <c r="N19" s="58">
        <f>'01'!N19</f>
        <v>21449717</v>
      </c>
      <c r="O19" s="59">
        <f>SUM(C19:N19)</f>
        <v>299317125</v>
      </c>
      <c r="V19" s="9"/>
      <c r="W19" s="10"/>
      <c r="X19" s="10"/>
    </row>
    <row r="20" spans="1:24" ht="23.25" customHeight="1" x14ac:dyDescent="0.25">
      <c r="A20" s="243"/>
      <c r="B20" s="40" t="s">
        <v>250</v>
      </c>
      <c r="C20" s="58">
        <f>C19</f>
        <v>25239800</v>
      </c>
      <c r="D20" s="58">
        <f>C20+D19</f>
        <v>47244700</v>
      </c>
      <c r="E20" s="58">
        <f t="shared" ref="E20:J20" si="3">D20+E19</f>
        <v>72301105</v>
      </c>
      <c r="F20" s="58">
        <f t="shared" si="3"/>
        <v>95810271</v>
      </c>
      <c r="G20" s="58">
        <f t="shared" si="3"/>
        <v>119973588</v>
      </c>
      <c r="H20" s="58">
        <f t="shared" si="3"/>
        <v>147227961</v>
      </c>
      <c r="I20" s="58">
        <f t="shared" si="3"/>
        <v>172438581</v>
      </c>
      <c r="J20" s="58">
        <f t="shared" si="3"/>
        <v>197413210</v>
      </c>
      <c r="K20" s="58">
        <f t="shared" ref="K20" si="4">J20+K19</f>
        <v>222931569</v>
      </c>
      <c r="L20" s="58">
        <f t="shared" ref="L20" si="5">K20+L19</f>
        <v>249745375</v>
      </c>
      <c r="M20" s="58">
        <f t="shared" ref="M20" si="6">L20+M19</f>
        <v>277867408</v>
      </c>
      <c r="N20" s="58">
        <f t="shared" ref="N20" si="7">M20+N19</f>
        <v>299317125</v>
      </c>
      <c r="O20" s="59">
        <f>MAX(C20:N20)</f>
        <v>299317125</v>
      </c>
      <c r="V20" s="9"/>
      <c r="W20" s="10"/>
      <c r="X20" s="10"/>
    </row>
    <row r="21" spans="1:24" ht="17.25" customHeight="1" x14ac:dyDescent="0.25">
      <c r="A21" s="243"/>
      <c r="B21" s="7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244"/>
      <c r="B22" s="77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245" t="s">
        <v>34</v>
      </c>
      <c r="B23" s="246"/>
      <c r="C23" s="247"/>
      <c r="D23" s="234" t="str">
        <f>'SET SP Tarquí'!$G8</f>
        <v>Menor a 31 días</v>
      </c>
      <c r="E23" s="235"/>
      <c r="F23" s="235"/>
      <c r="G23" s="236"/>
      <c r="H23" s="234" t="str">
        <f>'SET SP Tarquí'!$H8</f>
        <v>Entre 31 y 45 días</v>
      </c>
      <c r="I23" s="235"/>
      <c r="J23" s="235"/>
      <c r="K23" s="236"/>
      <c r="L23" s="234" t="str">
        <f>'SET SP Tarquí'!$I8</f>
        <v>Mayor a 45 días</v>
      </c>
      <c r="M23" s="239"/>
      <c r="N23" s="239"/>
      <c r="O23" s="240"/>
      <c r="V23" s="9"/>
      <c r="W23" s="10"/>
      <c r="X23" s="10"/>
    </row>
    <row r="24" spans="1:24" ht="33" customHeight="1" thickBot="1" x14ac:dyDescent="0.3">
      <c r="A24" s="248"/>
      <c r="B24" s="249"/>
      <c r="C24" s="249"/>
      <c r="D24" s="250" t="s">
        <v>7</v>
      </c>
      <c r="E24" s="250"/>
      <c r="F24" s="250"/>
      <c r="G24" s="250"/>
      <c r="H24" s="251" t="s">
        <v>61</v>
      </c>
      <c r="I24" s="251"/>
      <c r="J24" s="251"/>
      <c r="K24" s="251"/>
      <c r="L24" s="211" t="s">
        <v>62</v>
      </c>
      <c r="M24" s="211"/>
      <c r="N24" s="211"/>
      <c r="O24" s="212"/>
      <c r="V24" s="9"/>
      <c r="W24" s="10"/>
      <c r="X24" s="10"/>
    </row>
    <row r="25" spans="1:24" ht="15.75" customHeight="1" thickBot="1" x14ac:dyDescent="0.3">
      <c r="A25" s="213" t="s">
        <v>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V25" s="9"/>
      <c r="W25" s="10"/>
      <c r="X25" s="10"/>
    </row>
    <row r="26" spans="1:24" ht="264.75" customHeight="1" thickBot="1" x14ac:dyDescent="0.3">
      <c r="A26" s="231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3"/>
      <c r="V26" s="9"/>
    </row>
    <row r="27" spans="1:24" ht="15" customHeight="1" x14ac:dyDescent="0.25">
      <c r="A27" s="165" t="s">
        <v>58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 t="s">
        <v>60</v>
      </c>
      <c r="O27" s="168"/>
    </row>
    <row r="28" spans="1:24" ht="15" customHeight="1" x14ac:dyDescent="0.25">
      <c r="A28" s="158" t="s">
        <v>281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43101</v>
      </c>
      <c r="O28" s="170"/>
    </row>
    <row r="29" spans="1:24" ht="15" customHeight="1" x14ac:dyDescent="0.25">
      <c r="A29" s="158" t="s">
        <v>282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43132</v>
      </c>
      <c r="O29" s="170"/>
    </row>
    <row r="30" spans="1:24" ht="15" customHeight="1" x14ac:dyDescent="0.25">
      <c r="A30" s="158" t="s">
        <v>283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43160</v>
      </c>
      <c r="O30" s="170"/>
    </row>
    <row r="31" spans="1:24" ht="15" customHeight="1" x14ac:dyDescent="0.25">
      <c r="A31" s="158" t="s">
        <v>284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43191</v>
      </c>
      <c r="O31" s="170"/>
    </row>
    <row r="32" spans="1:24" ht="15" customHeight="1" x14ac:dyDescent="0.25">
      <c r="A32" s="158" t="s">
        <v>281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43221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43252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43282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43313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43344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43374</v>
      </c>
      <c r="O37" s="170"/>
    </row>
    <row r="38" spans="1:17" ht="15" customHeight="1" x14ac:dyDescent="0.2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9">
        <v>43405</v>
      </c>
      <c r="O38" s="170"/>
    </row>
    <row r="39" spans="1:17" ht="15" customHeight="1" thickBot="1" x14ac:dyDescent="0.3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4"/>
      <c r="N39" s="169">
        <v>43435</v>
      </c>
      <c r="O39" s="170"/>
    </row>
    <row r="40" spans="1:17" ht="19.5" customHeight="1" x14ac:dyDescent="0.25">
      <c r="A40" s="165" t="s">
        <v>59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7" t="s">
        <v>60</v>
      </c>
      <c r="O40" s="168"/>
    </row>
    <row r="41" spans="1:17" ht="15" x14ac:dyDescent="0.25">
      <c r="A41" s="158" t="s">
        <v>280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1"/>
    </row>
    <row r="42" spans="1:17" ht="15.75" thickBot="1" x14ac:dyDescent="0.3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4"/>
    </row>
    <row r="43" spans="1:17" ht="5.25" customHeight="1" x14ac:dyDescent="0.25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</row>
    <row r="45" spans="1:17" ht="14.25" x14ac:dyDescent="0.2">
      <c r="Q45" s="49" t="s">
        <v>81</v>
      </c>
    </row>
    <row r="46" spans="1:17" ht="14.25" x14ac:dyDescent="0.2">
      <c r="Q46" s="49" t="s">
        <v>82</v>
      </c>
    </row>
    <row r="47" spans="1:17" ht="14.25" x14ac:dyDescent="0.2">
      <c r="Q47" s="49" t="s">
        <v>83</v>
      </c>
    </row>
    <row r="48" spans="1:17" ht="14.25" x14ac:dyDescent="0.2">
      <c r="Q48" s="49" t="s">
        <v>84</v>
      </c>
    </row>
    <row r="49" spans="17:17" ht="14.25" x14ac:dyDescent="0.2">
      <c r="Q49" s="49" t="s">
        <v>85</v>
      </c>
    </row>
    <row r="50" spans="17:17" ht="14.25" x14ac:dyDescent="0.2">
      <c r="Q50" s="49" t="s">
        <v>86</v>
      </c>
    </row>
    <row r="51" spans="17:17" ht="14.25" x14ac:dyDescent="0.2">
      <c r="Q51" s="49" t="s">
        <v>87</v>
      </c>
    </row>
    <row r="52" spans="17:17" ht="14.25" x14ac:dyDescent="0.2">
      <c r="Q52" s="49" t="s">
        <v>88</v>
      </c>
    </row>
    <row r="53" spans="17:17" ht="14.25" x14ac:dyDescent="0.2">
      <c r="Q53" s="49" t="s">
        <v>89</v>
      </c>
    </row>
    <row r="54" spans="17:17" ht="14.25" x14ac:dyDescent="0.2">
      <c r="Q54" s="49" t="s">
        <v>90</v>
      </c>
    </row>
    <row r="55" spans="17:17" ht="14.25" x14ac:dyDescent="0.2">
      <c r="Q55" s="49" t="s">
        <v>91</v>
      </c>
    </row>
    <row r="56" spans="17:17" ht="14.25" x14ac:dyDescent="0.2">
      <c r="Q56" s="49" t="s">
        <v>92</v>
      </c>
    </row>
    <row r="57" spans="17:17" ht="14.25" x14ac:dyDescent="0.2">
      <c r="Q57" s="49" t="s">
        <v>93</v>
      </c>
    </row>
    <row r="59" spans="17:17" x14ac:dyDescent="0.25">
      <c r="Q59" s="52">
        <v>32</v>
      </c>
    </row>
    <row r="60" spans="17:17" x14ac:dyDescent="0.25">
      <c r="Q60" s="52">
        <v>30</v>
      </c>
    </row>
  </sheetData>
  <mergeCells count="74"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32:M32"/>
    <mergeCell ref="N32:O32"/>
    <mergeCell ref="A33:M33"/>
    <mergeCell ref="N33:O33"/>
    <mergeCell ref="A34:M34"/>
    <mergeCell ref="N34:O34"/>
    <mergeCell ref="A43:O43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16:B16"/>
    <mergeCell ref="A17:B17"/>
    <mergeCell ref="A18:A22"/>
    <mergeCell ref="A15:B15"/>
    <mergeCell ref="D23:G23"/>
    <mergeCell ref="J9:O9"/>
    <mergeCell ref="A10:O10"/>
    <mergeCell ref="A11:O11"/>
    <mergeCell ref="A12:O12"/>
    <mergeCell ref="A13:O13"/>
    <mergeCell ref="A42:M42"/>
    <mergeCell ref="N42:O42"/>
    <mergeCell ref="A27:M27"/>
    <mergeCell ref="N27:O27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N30:O30"/>
    <mergeCell ref="A31:M31"/>
    <mergeCell ref="N31:O31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27" zoomScaleSheetLayoutView="72" workbookViewId="0">
      <selection activeCell="A35" sqref="A35:M3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5" width="9.28515625" style="3" customWidth="1"/>
    <col min="6" max="6" width="9" style="3" customWidth="1"/>
    <col min="7" max="7" width="9.140625" style="3" customWidth="1"/>
    <col min="8" max="8" width="9" style="3" customWidth="1"/>
    <col min="9" max="14" width="9.28515625" style="3" customWidth="1"/>
    <col min="15" max="15" width="9.140625" style="3" customWidth="1"/>
    <col min="16" max="16" width="8.7109375" style="3" customWidth="1"/>
    <col min="17" max="18" width="8.7109375" style="3" hidden="1" customWidth="1"/>
    <col min="19" max="19" width="8.71093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Tarquí'!$B9</f>
        <v>Ejecución de inversiones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Tarquí'!F9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Tarquí'!A9</f>
        <v>IN04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39" customHeight="1" thickBot="1" x14ac:dyDescent="0.3">
      <c r="A9" s="194" t="str">
        <f>'SET SP Tarquí'!$C9</f>
        <v>Realizar el seguimiento a la ejecución de la inversión establecida para la vigencia fiscal respectiva.</v>
      </c>
      <c r="B9" s="195"/>
      <c r="C9" s="195"/>
      <c r="D9" s="195"/>
      <c r="E9" s="17" t="s">
        <v>35</v>
      </c>
      <c r="F9" s="195" t="str">
        <f>'SET SP Tarquí'!$D9</f>
        <v xml:space="preserve">(Inversión realizada / Inversión presupuestada) x 100% </v>
      </c>
      <c r="G9" s="195"/>
      <c r="H9" s="39">
        <f>$O16</f>
        <v>1</v>
      </c>
      <c r="I9" s="36" t="str">
        <f>'SET SP Tarquí'!$E9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5"/>
      <c r="X12" s="35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0.92</v>
      </c>
      <c r="D15" s="127">
        <f t="shared" si="0"/>
        <v>0.92</v>
      </c>
      <c r="E15" s="127">
        <f t="shared" si="0"/>
        <v>0.92</v>
      </c>
      <c r="F15" s="127">
        <f t="shared" si="0"/>
        <v>0.92</v>
      </c>
      <c r="G15" s="127">
        <f t="shared" si="0"/>
        <v>0.92</v>
      </c>
      <c r="H15" s="127">
        <f t="shared" si="0"/>
        <v>0.92</v>
      </c>
      <c r="I15" s="127">
        <f t="shared" si="0"/>
        <v>0.92</v>
      </c>
      <c r="J15" s="127">
        <f t="shared" si="0"/>
        <v>0.92</v>
      </c>
      <c r="K15" s="127">
        <f t="shared" si="0"/>
        <v>0.92</v>
      </c>
      <c r="L15" s="127">
        <f t="shared" si="0"/>
        <v>0.92</v>
      </c>
      <c r="M15" s="127">
        <f t="shared" si="0"/>
        <v>0.92</v>
      </c>
      <c r="N15" s="127">
        <f t="shared" si="0"/>
        <v>0.92</v>
      </c>
      <c r="O15" s="130">
        <f>'SET SP Tarquí'!J9</f>
        <v>0.92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1</v>
      </c>
      <c r="D16" s="127">
        <f t="shared" si="1"/>
        <v>1</v>
      </c>
      <c r="E16" s="127">
        <f t="shared" si="1"/>
        <v>1</v>
      </c>
      <c r="F16" s="127">
        <f t="shared" si="1"/>
        <v>1</v>
      </c>
      <c r="G16" s="127">
        <f t="shared" si="1"/>
        <v>1</v>
      </c>
      <c r="H16" s="127">
        <f t="shared" si="1"/>
        <v>1</v>
      </c>
      <c r="I16" s="127">
        <f t="shared" si="1"/>
        <v>1</v>
      </c>
      <c r="J16" s="127">
        <f t="shared" si="1"/>
        <v>1</v>
      </c>
      <c r="K16" s="127">
        <f t="shared" si="1"/>
        <v>1</v>
      </c>
      <c r="L16" s="127">
        <f t="shared" si="1"/>
        <v>1</v>
      </c>
      <c r="M16" s="127">
        <f t="shared" si="1"/>
        <v>1</v>
      </c>
      <c r="N16" s="127">
        <f t="shared" si="1"/>
        <v>1</v>
      </c>
      <c r="O16" s="130">
        <f>'SET SP Tarquí'!K9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O17" si="2">IF((C20),C19/C20,"-")</f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 t="shared" si="2"/>
        <v>0</v>
      </c>
      <c r="O17" s="13">
        <f t="shared" si="2"/>
        <v>0</v>
      </c>
      <c r="V17" s="9"/>
      <c r="W17" s="10"/>
      <c r="X17" s="10"/>
    </row>
    <row r="18" spans="1:24" ht="17.25" customHeight="1" x14ac:dyDescent="0.25">
      <c r="A18" s="243" t="s">
        <v>37</v>
      </c>
      <c r="B18" s="40" t="s">
        <v>171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9">
        <f>MAX(C18:N18)</f>
        <v>0</v>
      </c>
      <c r="V18" s="9"/>
      <c r="W18" s="10"/>
      <c r="X18" s="10"/>
    </row>
    <row r="19" spans="1:24" ht="17.25" customHeight="1" x14ac:dyDescent="0.25">
      <c r="A19" s="243"/>
      <c r="B19" s="40" t="s">
        <v>172</v>
      </c>
      <c r="C19" s="58">
        <f>C18</f>
        <v>0</v>
      </c>
      <c r="D19" s="58">
        <f>C19+D18</f>
        <v>0</v>
      </c>
      <c r="E19" s="58">
        <f t="shared" ref="E19:J19" si="3">D19+E18</f>
        <v>0</v>
      </c>
      <c r="F19" s="58">
        <f t="shared" si="3"/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 t="shared" si="3"/>
        <v>0</v>
      </c>
      <c r="K19" s="58">
        <f t="shared" ref="K19" si="4">J19+K18</f>
        <v>0</v>
      </c>
      <c r="L19" s="58">
        <f t="shared" ref="L19" si="5">K19+L18</f>
        <v>0</v>
      </c>
      <c r="M19" s="58">
        <f t="shared" ref="M19" si="6">L19+M18</f>
        <v>0</v>
      </c>
      <c r="N19" s="58">
        <f t="shared" ref="N19" si="7">M19+N18</f>
        <v>0</v>
      </c>
      <c r="O19" s="59">
        <f>MAX(C19:N19)</f>
        <v>0</v>
      </c>
      <c r="V19" s="9"/>
      <c r="W19" s="10"/>
      <c r="X19" s="10"/>
    </row>
    <row r="20" spans="1:24" ht="13.5" customHeight="1" x14ac:dyDescent="0.25">
      <c r="A20" s="243"/>
      <c r="B20" s="40" t="s">
        <v>135</v>
      </c>
      <c r="C20" s="58">
        <v>10000000</v>
      </c>
      <c r="D20" s="58">
        <f>+C20</f>
        <v>10000000</v>
      </c>
      <c r="E20" s="58">
        <f t="shared" ref="E20:J20" si="8">+D20</f>
        <v>10000000</v>
      </c>
      <c r="F20" s="58">
        <f t="shared" si="8"/>
        <v>10000000</v>
      </c>
      <c r="G20" s="58">
        <f t="shared" si="8"/>
        <v>10000000</v>
      </c>
      <c r="H20" s="58">
        <f t="shared" si="8"/>
        <v>10000000</v>
      </c>
      <c r="I20" s="58">
        <f t="shared" si="8"/>
        <v>10000000</v>
      </c>
      <c r="J20" s="58">
        <f t="shared" si="8"/>
        <v>10000000</v>
      </c>
      <c r="K20" s="58">
        <f t="shared" ref="K20" si="9">+J20</f>
        <v>10000000</v>
      </c>
      <c r="L20" s="58">
        <f t="shared" ref="L20" si="10">+K20</f>
        <v>10000000</v>
      </c>
      <c r="M20" s="58">
        <f t="shared" ref="M20" si="11">+L20</f>
        <v>10000000</v>
      </c>
      <c r="N20" s="58">
        <f t="shared" ref="N20" si="12">+M20</f>
        <v>10000000</v>
      </c>
      <c r="O20" s="59">
        <f>MAX(C20:N20)</f>
        <v>10000000</v>
      </c>
      <c r="V20" s="9"/>
      <c r="W20" s="10"/>
      <c r="X20" s="10"/>
    </row>
    <row r="21" spans="1:24" ht="17.25" customHeight="1" x14ac:dyDescent="0.25">
      <c r="A21" s="243"/>
      <c r="B21" s="7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9"/>
      <c r="V21" s="9"/>
      <c r="W21" s="10"/>
      <c r="X21" s="10"/>
    </row>
    <row r="22" spans="1:24" ht="18" customHeight="1" thickBot="1" x14ac:dyDescent="0.3">
      <c r="A22" s="244"/>
      <c r="B22" s="77" t="s">
        <v>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0"/>
      <c r="V22" s="9"/>
      <c r="W22" s="10"/>
      <c r="X22" s="10"/>
    </row>
    <row r="23" spans="1:24" ht="14.25" customHeight="1" thickBot="1" x14ac:dyDescent="0.3">
      <c r="A23" s="245" t="s">
        <v>34</v>
      </c>
      <c r="B23" s="246"/>
      <c r="C23" s="247"/>
      <c r="D23" s="234" t="str">
        <f>'SET SP Tarquí'!$G9</f>
        <v>Entre 80% y 100%</v>
      </c>
      <c r="E23" s="235"/>
      <c r="F23" s="235"/>
      <c r="G23" s="236"/>
      <c r="H23" s="234" t="str">
        <f>'SET SP Tarquí'!$H9</f>
        <v>Entre 60% y 79%</v>
      </c>
      <c r="I23" s="235"/>
      <c r="J23" s="235"/>
      <c r="K23" s="236"/>
      <c r="L23" s="234" t="str">
        <f>'SET SP Tarquí'!$I9</f>
        <v>Menor al 59%</v>
      </c>
      <c r="M23" s="239"/>
      <c r="N23" s="239"/>
      <c r="O23" s="240"/>
      <c r="V23" s="9"/>
      <c r="W23" s="10"/>
      <c r="X23" s="10"/>
    </row>
    <row r="24" spans="1:24" ht="33" customHeight="1" thickBot="1" x14ac:dyDescent="0.3">
      <c r="A24" s="248"/>
      <c r="B24" s="249"/>
      <c r="C24" s="249"/>
      <c r="D24" s="250" t="s">
        <v>7</v>
      </c>
      <c r="E24" s="250"/>
      <c r="F24" s="250"/>
      <c r="G24" s="250"/>
      <c r="H24" s="251" t="s">
        <v>61</v>
      </c>
      <c r="I24" s="251"/>
      <c r="J24" s="251"/>
      <c r="K24" s="251"/>
      <c r="L24" s="211" t="s">
        <v>62</v>
      </c>
      <c r="M24" s="211"/>
      <c r="N24" s="211"/>
      <c r="O24" s="212"/>
      <c r="V24" s="9"/>
      <c r="W24" s="10"/>
      <c r="X24" s="10"/>
    </row>
    <row r="25" spans="1:24" ht="15.75" customHeight="1" thickBot="1" x14ac:dyDescent="0.3">
      <c r="A25" s="213" t="s">
        <v>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5"/>
      <c r="V25" s="9"/>
      <c r="W25" s="10"/>
      <c r="X25" s="10"/>
    </row>
    <row r="26" spans="1:24" ht="264.75" customHeight="1" thickBot="1" x14ac:dyDescent="0.3">
      <c r="A26" s="231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3"/>
      <c r="V26" s="9"/>
    </row>
    <row r="27" spans="1:24" ht="15" customHeight="1" x14ac:dyDescent="0.25">
      <c r="A27" s="165" t="s">
        <v>58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 t="s">
        <v>60</v>
      </c>
      <c r="O27" s="168"/>
    </row>
    <row r="28" spans="1:24" ht="15" customHeight="1" x14ac:dyDescent="0.25">
      <c r="A28" s="158" t="s">
        <v>285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43101</v>
      </c>
      <c r="O28" s="170"/>
    </row>
    <row r="29" spans="1:24" ht="15" customHeight="1" x14ac:dyDescent="0.25">
      <c r="A29" s="158" t="s">
        <v>285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43132</v>
      </c>
      <c r="O29" s="170"/>
    </row>
    <row r="30" spans="1:24" ht="15" customHeight="1" x14ac:dyDescent="0.25">
      <c r="A30" s="158" t="s">
        <v>285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43160</v>
      </c>
      <c r="O30" s="170"/>
    </row>
    <row r="31" spans="1:24" ht="15" customHeight="1" x14ac:dyDescent="0.25">
      <c r="A31" s="158" t="s">
        <v>285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43191</v>
      </c>
      <c r="O31" s="170"/>
    </row>
    <row r="32" spans="1:24" ht="15" customHeight="1" x14ac:dyDescent="0.25">
      <c r="A32" s="158" t="s">
        <v>285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43221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43252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43282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43313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43344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43374</v>
      </c>
      <c r="O37" s="170"/>
    </row>
    <row r="38" spans="1:17" ht="15" customHeight="1" x14ac:dyDescent="0.2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69">
        <v>43405</v>
      </c>
      <c r="O38" s="170"/>
    </row>
    <row r="39" spans="1:17" ht="15" customHeight="1" thickBot="1" x14ac:dyDescent="0.3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4"/>
      <c r="N39" s="169">
        <v>43435</v>
      </c>
      <c r="O39" s="170"/>
    </row>
    <row r="40" spans="1:17" ht="19.5" customHeight="1" x14ac:dyDescent="0.25">
      <c r="A40" s="165" t="s">
        <v>59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7" t="s">
        <v>60</v>
      </c>
      <c r="O40" s="168"/>
    </row>
    <row r="41" spans="1:17" ht="14.25" customHeight="1" x14ac:dyDescent="0.2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1"/>
    </row>
    <row r="42" spans="1:17" ht="15.75" thickBot="1" x14ac:dyDescent="0.3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4"/>
    </row>
    <row r="43" spans="1:17" ht="5.25" customHeight="1" x14ac:dyDescent="0.25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</row>
    <row r="45" spans="1:17" ht="14.25" x14ac:dyDescent="0.2">
      <c r="Q45" s="49" t="s">
        <v>81</v>
      </c>
    </row>
    <row r="46" spans="1:17" ht="14.25" x14ac:dyDescent="0.2">
      <c r="Q46" s="49" t="s">
        <v>82</v>
      </c>
    </row>
    <row r="47" spans="1:17" ht="14.25" x14ac:dyDescent="0.2">
      <c r="Q47" s="49" t="s">
        <v>83</v>
      </c>
    </row>
    <row r="48" spans="1:17" ht="14.25" x14ac:dyDescent="0.2">
      <c r="Q48" s="49" t="s">
        <v>84</v>
      </c>
    </row>
    <row r="49" spans="17:17" ht="14.25" x14ac:dyDescent="0.2">
      <c r="Q49" s="49" t="s">
        <v>85</v>
      </c>
    </row>
    <row r="50" spans="17:17" ht="14.25" x14ac:dyDescent="0.2">
      <c r="Q50" s="49" t="s">
        <v>86</v>
      </c>
    </row>
    <row r="51" spans="17:17" ht="14.25" x14ac:dyDescent="0.2">
      <c r="Q51" s="49" t="s">
        <v>87</v>
      </c>
    </row>
    <row r="52" spans="17:17" ht="14.25" x14ac:dyDescent="0.2">
      <c r="Q52" s="49" t="s">
        <v>88</v>
      </c>
    </row>
    <row r="53" spans="17:17" ht="14.25" x14ac:dyDescent="0.2">
      <c r="Q53" s="49" t="s">
        <v>89</v>
      </c>
    </row>
    <row r="54" spans="17:17" ht="14.25" x14ac:dyDescent="0.2">
      <c r="Q54" s="49" t="s">
        <v>90</v>
      </c>
    </row>
    <row r="55" spans="17:17" ht="14.25" x14ac:dyDescent="0.2">
      <c r="Q55" s="49" t="s">
        <v>91</v>
      </c>
    </row>
    <row r="56" spans="17:17" ht="14.25" x14ac:dyDescent="0.2">
      <c r="Q56" s="49" t="s">
        <v>92</v>
      </c>
    </row>
    <row r="57" spans="17:17" ht="14.25" x14ac:dyDescent="0.2">
      <c r="Q57" s="49" t="s">
        <v>93</v>
      </c>
    </row>
    <row r="59" spans="17:17" x14ac:dyDescent="0.25">
      <c r="Q59" s="44">
        <v>0.92</v>
      </c>
    </row>
    <row r="60" spans="17:17" x14ac:dyDescent="0.25">
      <c r="Q60" s="44">
        <v>1</v>
      </c>
    </row>
  </sheetData>
  <mergeCells count="74">
    <mergeCell ref="A28:M28"/>
    <mergeCell ref="N28:O28"/>
    <mergeCell ref="A29:M29"/>
    <mergeCell ref="N29:O29"/>
    <mergeCell ref="A30:M30"/>
    <mergeCell ref="N30:O30"/>
    <mergeCell ref="A35:M35"/>
    <mergeCell ref="N35:O35"/>
    <mergeCell ref="A39:M39"/>
    <mergeCell ref="N39:O39"/>
    <mergeCell ref="A36:M36"/>
    <mergeCell ref="N36:O36"/>
    <mergeCell ref="A37:M37"/>
    <mergeCell ref="N37:O37"/>
    <mergeCell ref="A38:M38"/>
    <mergeCell ref="N38:O38"/>
    <mergeCell ref="A43:O43"/>
    <mergeCell ref="A1:C2"/>
    <mergeCell ref="D1:O1"/>
    <mergeCell ref="D2:O2"/>
    <mergeCell ref="A6:E6"/>
    <mergeCell ref="G6:O6"/>
    <mergeCell ref="A5:E5"/>
    <mergeCell ref="A3:E3"/>
    <mergeCell ref="F3:O3"/>
    <mergeCell ref="A4:E4"/>
    <mergeCell ref="F4:O4"/>
    <mergeCell ref="F5:O5"/>
    <mergeCell ref="A25:O25"/>
    <mergeCell ref="A26:O26"/>
    <mergeCell ref="H23:K23"/>
    <mergeCell ref="A23:C24"/>
    <mergeCell ref="D24:G24"/>
    <mergeCell ref="H24:K24"/>
    <mergeCell ref="L24:O24"/>
    <mergeCell ref="N8:O8"/>
    <mergeCell ref="J7:K8"/>
    <mergeCell ref="L7:O7"/>
    <mergeCell ref="L8:M8"/>
    <mergeCell ref="A7:D8"/>
    <mergeCell ref="E7:E8"/>
    <mergeCell ref="F7:G8"/>
    <mergeCell ref="H7:H8"/>
    <mergeCell ref="I7:I8"/>
    <mergeCell ref="A14:B14"/>
    <mergeCell ref="A9:D9"/>
    <mergeCell ref="F9:G9"/>
    <mergeCell ref="L23:O23"/>
    <mergeCell ref="A16:B16"/>
    <mergeCell ref="A17:B17"/>
    <mergeCell ref="A18:A22"/>
    <mergeCell ref="A15:B15"/>
    <mergeCell ref="D23:G23"/>
    <mergeCell ref="J9:O9"/>
    <mergeCell ref="A10:O10"/>
    <mergeCell ref="A11:O11"/>
    <mergeCell ref="A12:O12"/>
    <mergeCell ref="A13:O13"/>
    <mergeCell ref="A42:M42"/>
    <mergeCell ref="N42:O42"/>
    <mergeCell ref="A27:M27"/>
    <mergeCell ref="N27:O27"/>
    <mergeCell ref="A40:M40"/>
    <mergeCell ref="N40:O40"/>
    <mergeCell ref="A41:M41"/>
    <mergeCell ref="N41:O41"/>
    <mergeCell ref="A31:M31"/>
    <mergeCell ref="N31:O31"/>
    <mergeCell ref="A32:M32"/>
    <mergeCell ref="N32:O32"/>
    <mergeCell ref="A33:M33"/>
    <mergeCell ref="N33:O33"/>
    <mergeCell ref="A34:M34"/>
    <mergeCell ref="N34:O34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7" zoomScaleSheetLayoutView="72" workbookViewId="0">
      <selection activeCell="A35" sqref="A35:M35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.85546875" style="3" customWidth="1"/>
    <col min="17" max="18" width="7.85546875" style="3" hidden="1" customWidth="1"/>
    <col min="19" max="19" width="7.8554687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Tarquí'!$B10</f>
        <v>Cobertura   (Acueducto)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Tarquí'!F10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Tarquí'!A10</f>
        <v>IN05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8.5" customHeight="1" thickBot="1" x14ac:dyDescent="0.3">
      <c r="A9" s="194" t="str">
        <f>'SET SP Tarquí'!$C10</f>
        <v xml:space="preserve">Medir el grado de cobertura en   la prestación del servicio de acueducto administrado por Aguas del Huila. </v>
      </c>
      <c r="B9" s="195"/>
      <c r="C9" s="195"/>
      <c r="D9" s="195"/>
      <c r="E9" s="17" t="s">
        <v>35</v>
      </c>
      <c r="F9" s="195" t="str">
        <f>'SET SP Tarquí'!$D10</f>
        <v xml:space="preserve">(Número de Suscriptores servicio de acueducto / Número de Domicilios) x 100% </v>
      </c>
      <c r="G9" s="195"/>
      <c r="H9" s="14">
        <f>$O16</f>
        <v>1</v>
      </c>
      <c r="I9" s="37" t="str">
        <f>'SET SP Tarquí'!$E10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38"/>
      <c r="X12" s="3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0.99</v>
      </c>
      <c r="D15" s="125">
        <f t="shared" si="0"/>
        <v>0.99</v>
      </c>
      <c r="E15" s="125">
        <f t="shared" si="0"/>
        <v>0.99</v>
      </c>
      <c r="F15" s="125">
        <f t="shared" si="0"/>
        <v>0.99</v>
      </c>
      <c r="G15" s="125">
        <f t="shared" si="0"/>
        <v>0.99</v>
      </c>
      <c r="H15" s="125">
        <f t="shared" si="0"/>
        <v>0.99</v>
      </c>
      <c r="I15" s="125">
        <f t="shared" si="0"/>
        <v>0.99</v>
      </c>
      <c r="J15" s="125">
        <f t="shared" si="0"/>
        <v>0.99</v>
      </c>
      <c r="K15" s="125">
        <f t="shared" si="0"/>
        <v>0.99</v>
      </c>
      <c r="L15" s="125">
        <f t="shared" si="0"/>
        <v>0.99</v>
      </c>
      <c r="M15" s="125">
        <f t="shared" si="0"/>
        <v>0.99</v>
      </c>
      <c r="N15" s="125">
        <f t="shared" si="0"/>
        <v>0.99</v>
      </c>
      <c r="O15" s="131">
        <f>'SET SP Tarquí'!J10</f>
        <v>0.99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1</v>
      </c>
      <c r="D16" s="125">
        <f t="shared" si="1"/>
        <v>1</v>
      </c>
      <c r="E16" s="125">
        <f t="shared" si="1"/>
        <v>1</v>
      </c>
      <c r="F16" s="125">
        <f t="shared" si="1"/>
        <v>1</v>
      </c>
      <c r="G16" s="125">
        <f t="shared" si="1"/>
        <v>1</v>
      </c>
      <c r="H16" s="125">
        <f t="shared" si="1"/>
        <v>1</v>
      </c>
      <c r="I16" s="125">
        <f t="shared" si="1"/>
        <v>1</v>
      </c>
      <c r="J16" s="125">
        <f t="shared" si="1"/>
        <v>1</v>
      </c>
      <c r="K16" s="125">
        <f t="shared" si="1"/>
        <v>1</v>
      </c>
      <c r="L16" s="125">
        <f t="shared" si="1"/>
        <v>1</v>
      </c>
      <c r="M16" s="125">
        <f t="shared" si="1"/>
        <v>1</v>
      </c>
      <c r="N16" s="125">
        <f t="shared" si="1"/>
        <v>1</v>
      </c>
      <c r="O16" s="131">
        <f>'SET SP Tarquí'!K10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0.99044776119402989</v>
      </c>
      <c r="D17" s="12">
        <f t="shared" si="2"/>
        <v>0.99048751486325803</v>
      </c>
      <c r="E17" s="12">
        <f t="shared" si="2"/>
        <v>0.99052132701421802</v>
      </c>
      <c r="F17" s="12">
        <f>IF((F19),F18/F19,"-")</f>
        <v>0.99052132701421802</v>
      </c>
      <c r="G17" s="12">
        <f t="shared" ref="G17:O17" si="3">IF((G19),G18/G19,"-")</f>
        <v>0.99053814311058541</v>
      </c>
      <c r="H17" s="12">
        <f t="shared" si="3"/>
        <v>0.99056603773584906</v>
      </c>
      <c r="I17" s="12">
        <f t="shared" si="3"/>
        <v>0.99056047197640118</v>
      </c>
      <c r="J17" s="12">
        <f t="shared" si="3"/>
        <v>0.99059376837154611</v>
      </c>
      <c r="K17" s="12">
        <f t="shared" si="3"/>
        <v>0.99062133645955452</v>
      </c>
      <c r="L17" s="12">
        <f t="shared" si="3"/>
        <v>0.99063231850117095</v>
      </c>
      <c r="M17" s="12">
        <f t="shared" si="3"/>
        <v>0.99065966141272621</v>
      </c>
      <c r="N17" s="12">
        <f t="shared" si="3"/>
        <v>0.99065966141272621</v>
      </c>
      <c r="O17" s="13">
        <f t="shared" si="3"/>
        <v>0.99056789153075264</v>
      </c>
      <c r="V17" s="9"/>
      <c r="W17" s="10"/>
      <c r="X17" s="10"/>
    </row>
    <row r="18" spans="1:24" ht="14.25" customHeight="1" x14ac:dyDescent="0.25">
      <c r="A18" s="243" t="s">
        <v>37</v>
      </c>
      <c r="B18" s="40" t="s">
        <v>253</v>
      </c>
      <c r="C18" s="23">
        <f>'TARQUI-18'!D$6</f>
        <v>1659</v>
      </c>
      <c r="D18" s="23">
        <f>'TARQUI-18'!E$6</f>
        <v>1666</v>
      </c>
      <c r="E18" s="23">
        <f>'TARQUI-18'!F$6</f>
        <v>1672</v>
      </c>
      <c r="F18" s="23">
        <f>'TARQUI-18'!G$6</f>
        <v>1672</v>
      </c>
      <c r="G18" s="23">
        <f>'TARQUI-18'!H$6</f>
        <v>1675</v>
      </c>
      <c r="H18" s="23">
        <f>'TARQUI-18'!I$6</f>
        <v>1680</v>
      </c>
      <c r="I18" s="23">
        <f>'TARQUI-18'!J$6</f>
        <v>1679</v>
      </c>
      <c r="J18" s="23">
        <f>'TARQUI-18'!K$6</f>
        <v>1685</v>
      </c>
      <c r="K18" s="23">
        <f>'TARQUI-18'!L$6</f>
        <v>1690</v>
      </c>
      <c r="L18" s="23">
        <f>'TARQUI-18'!M$6</f>
        <v>1692</v>
      </c>
      <c r="M18" s="23">
        <f>'TARQUI-18'!N$6</f>
        <v>1697</v>
      </c>
      <c r="N18" s="23">
        <f>'TARQUI-18'!O$6</f>
        <v>1697</v>
      </c>
      <c r="O18" s="24">
        <f>SUM(C18:N18)</f>
        <v>20164</v>
      </c>
      <c r="V18" s="9"/>
      <c r="W18" s="10"/>
      <c r="X18" s="10"/>
    </row>
    <row r="19" spans="1:24" ht="15.75" customHeight="1" x14ac:dyDescent="0.25">
      <c r="A19" s="243"/>
      <c r="B19" s="40" t="s">
        <v>137</v>
      </c>
      <c r="C19" s="23">
        <f>'TARQUI-18'!D$5</f>
        <v>1675</v>
      </c>
      <c r="D19" s="23">
        <f>'TARQUI-18'!E$5</f>
        <v>1682</v>
      </c>
      <c r="E19" s="23">
        <f>'TARQUI-18'!F$5</f>
        <v>1688</v>
      </c>
      <c r="F19" s="23">
        <f>'TARQUI-18'!G$5</f>
        <v>1688</v>
      </c>
      <c r="G19" s="23">
        <f>'TARQUI-18'!H$5</f>
        <v>1691</v>
      </c>
      <c r="H19" s="23">
        <f>'TARQUI-18'!I$5</f>
        <v>1696</v>
      </c>
      <c r="I19" s="23">
        <f>'TARQUI-18'!J$5</f>
        <v>1695</v>
      </c>
      <c r="J19" s="23">
        <f>'TARQUI-18'!K$5</f>
        <v>1701</v>
      </c>
      <c r="K19" s="23">
        <f>'TARQUI-18'!L$5</f>
        <v>1706</v>
      </c>
      <c r="L19" s="23">
        <f>'TARQUI-18'!M$5</f>
        <v>1708</v>
      </c>
      <c r="M19" s="23">
        <f>'TARQUI-18'!N$5</f>
        <v>1713</v>
      </c>
      <c r="N19" s="23">
        <f>'TARQUI-18'!O$5</f>
        <v>1713</v>
      </c>
      <c r="O19" s="24">
        <f>SUM(C19:N19)</f>
        <v>20356</v>
      </c>
      <c r="V19" s="9"/>
      <c r="W19" s="10"/>
      <c r="X19" s="10"/>
    </row>
    <row r="20" spans="1:24" ht="17.2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Tarquí'!$G10</f>
        <v>Entre 80% y 100%</v>
      </c>
      <c r="E22" s="235"/>
      <c r="F22" s="235"/>
      <c r="G22" s="236"/>
      <c r="H22" s="234" t="str">
        <f>'SET SP Tarquí'!$H10</f>
        <v>Entre 60% y 79%</v>
      </c>
      <c r="I22" s="235"/>
      <c r="J22" s="235"/>
      <c r="K22" s="236"/>
      <c r="L22" s="234" t="str">
        <f>'SET SP Tarquí'!$I10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286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286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286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286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286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286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19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1"/>
    </row>
    <row r="41" spans="1:17" ht="15.75" thickBot="1" x14ac:dyDescent="0.3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6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0.92</v>
      </c>
    </row>
    <row r="59" spans="17:17" x14ac:dyDescent="0.25">
      <c r="Q59" s="11">
        <v>1</v>
      </c>
    </row>
  </sheetData>
  <mergeCells count="74">
    <mergeCell ref="A36:M36"/>
    <mergeCell ref="N36:O36"/>
    <mergeCell ref="A37:M37"/>
    <mergeCell ref="N37:O37"/>
    <mergeCell ref="A38:M38"/>
    <mergeCell ref="N38:O38"/>
    <mergeCell ref="A33:M33"/>
    <mergeCell ref="N33:O33"/>
    <mergeCell ref="A34:M34"/>
    <mergeCell ref="N34:O34"/>
    <mergeCell ref="A35:M35"/>
    <mergeCell ref="N35:O35"/>
    <mergeCell ref="A30:M30"/>
    <mergeCell ref="N30:O30"/>
    <mergeCell ref="A31:M31"/>
    <mergeCell ref="N31:O31"/>
    <mergeCell ref="A32:M32"/>
    <mergeCell ref="N32:O32"/>
    <mergeCell ref="N27:O27"/>
    <mergeCell ref="A28:M28"/>
    <mergeCell ref="N28:O28"/>
    <mergeCell ref="A29:M29"/>
    <mergeCell ref="N29:O29"/>
    <mergeCell ref="A42:O42"/>
    <mergeCell ref="A25:O25"/>
    <mergeCell ref="H22:K22"/>
    <mergeCell ref="A22:C23"/>
    <mergeCell ref="D22:G22"/>
    <mergeCell ref="A24:O24"/>
    <mergeCell ref="A39:M39"/>
    <mergeCell ref="N39:O39"/>
    <mergeCell ref="A40:M40"/>
    <mergeCell ref="N40:O40"/>
    <mergeCell ref="A41:M41"/>
    <mergeCell ref="N41:O41"/>
    <mergeCell ref="A26:M26"/>
    <mergeCell ref="N26:O26"/>
    <mergeCell ref="L23:O23"/>
    <mergeCell ref="A27:M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A14:B14"/>
    <mergeCell ref="I7:I8"/>
    <mergeCell ref="J7:K8"/>
    <mergeCell ref="L7:O7"/>
    <mergeCell ref="L8:M8"/>
    <mergeCell ref="H7:H8"/>
    <mergeCell ref="N8:O8"/>
    <mergeCell ref="D1:O1"/>
    <mergeCell ref="D2:O2"/>
    <mergeCell ref="A3:E3"/>
    <mergeCell ref="F3:O3"/>
    <mergeCell ref="A4:E4"/>
    <mergeCell ref="F4:O4"/>
    <mergeCell ref="A1:C2"/>
    <mergeCell ref="A9:D9"/>
    <mergeCell ref="F9:G9"/>
    <mergeCell ref="L22:O22"/>
    <mergeCell ref="D23:G23"/>
    <mergeCell ref="H23:K23"/>
    <mergeCell ref="A11:O11"/>
  </mergeCells>
  <dataValidations disablePrompts="1"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"/>
  <sheetViews>
    <sheetView topLeftCell="A29" zoomScaleSheetLayoutView="72" workbookViewId="0">
      <selection activeCell="A34" sqref="A34:M34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6.28515625" style="3" customWidth="1"/>
    <col min="17" max="18" width="6.28515625" style="3" hidden="1" customWidth="1"/>
    <col min="19" max="19" width="6.28515625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Tarquí'!$B11</f>
        <v>Cobertura   (Alcantarillado)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Tarquí'!F11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Tarquí'!A11</f>
        <v>IN06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5.5" customHeight="1" thickBot="1" x14ac:dyDescent="0.3">
      <c r="A9" s="194" t="str">
        <f>'SET SP Tarquí'!$C11</f>
        <v xml:space="preserve">Medir el grado de cobertura en   la prestación del servicio de alcantarillado administrado  por Aguas del Huila. </v>
      </c>
      <c r="B9" s="195"/>
      <c r="C9" s="195"/>
      <c r="D9" s="195"/>
      <c r="E9" s="17" t="s">
        <v>35</v>
      </c>
      <c r="F9" s="195" t="str">
        <f>'SET SP Tarquí'!$D11</f>
        <v xml:space="preserve">(Número de Suscriptores servicio de alcantarillado / Número de Domicilios) x 100%  </v>
      </c>
      <c r="G9" s="195"/>
      <c r="H9" s="22">
        <f>$O16</f>
        <v>1</v>
      </c>
      <c r="I9" s="15" t="str">
        <f>'SET SP Tarquí'!$E11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1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7"/>
      <c r="X12" s="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5">
        <f t="shared" ref="C15:N15" si="0">$O$15</f>
        <v>0.94</v>
      </c>
      <c r="D15" s="125">
        <f t="shared" si="0"/>
        <v>0.94</v>
      </c>
      <c r="E15" s="125">
        <f t="shared" si="0"/>
        <v>0.94</v>
      </c>
      <c r="F15" s="125">
        <f t="shared" si="0"/>
        <v>0.94</v>
      </c>
      <c r="G15" s="125">
        <f t="shared" si="0"/>
        <v>0.94</v>
      </c>
      <c r="H15" s="125">
        <f t="shared" si="0"/>
        <v>0.94</v>
      </c>
      <c r="I15" s="125">
        <f t="shared" si="0"/>
        <v>0.94</v>
      </c>
      <c r="J15" s="125">
        <f t="shared" si="0"/>
        <v>0.94</v>
      </c>
      <c r="K15" s="125">
        <f t="shared" si="0"/>
        <v>0.94</v>
      </c>
      <c r="L15" s="125">
        <f t="shared" si="0"/>
        <v>0.94</v>
      </c>
      <c r="M15" s="125">
        <f t="shared" si="0"/>
        <v>0.94</v>
      </c>
      <c r="N15" s="125">
        <f t="shared" si="0"/>
        <v>0.94</v>
      </c>
      <c r="O15" s="131">
        <f>'SET SP Tarquí'!J11</f>
        <v>0.94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5">
        <f t="shared" ref="C16:N16" si="1">$O$16</f>
        <v>1</v>
      </c>
      <c r="D16" s="125">
        <f t="shared" si="1"/>
        <v>1</v>
      </c>
      <c r="E16" s="125">
        <f t="shared" si="1"/>
        <v>1</v>
      </c>
      <c r="F16" s="125">
        <f t="shared" si="1"/>
        <v>1</v>
      </c>
      <c r="G16" s="125">
        <f t="shared" si="1"/>
        <v>1</v>
      </c>
      <c r="H16" s="125">
        <f t="shared" si="1"/>
        <v>1</v>
      </c>
      <c r="I16" s="125">
        <f t="shared" si="1"/>
        <v>1</v>
      </c>
      <c r="J16" s="125">
        <f t="shared" si="1"/>
        <v>1</v>
      </c>
      <c r="K16" s="125">
        <f t="shared" si="1"/>
        <v>1</v>
      </c>
      <c r="L16" s="125">
        <f t="shared" si="1"/>
        <v>1</v>
      </c>
      <c r="M16" s="125">
        <f t="shared" si="1"/>
        <v>1</v>
      </c>
      <c r="N16" s="125">
        <f t="shared" si="1"/>
        <v>1</v>
      </c>
      <c r="O16" s="131">
        <f>'SET SP Tarquí'!K11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0.96597014925373137</v>
      </c>
      <c r="D17" s="12">
        <f t="shared" si="2"/>
        <v>0.96551724137931039</v>
      </c>
      <c r="E17" s="12">
        <f t="shared" si="2"/>
        <v>0.96563981042654023</v>
      </c>
      <c r="F17" s="12">
        <f>IF((F19),F18/F19,"-")</f>
        <v>0.96563981042654023</v>
      </c>
      <c r="G17" s="12">
        <f t="shared" ref="G17:O17" si="3">IF((G19),G18/G19,"-")</f>
        <v>0.9657007687758723</v>
      </c>
      <c r="H17" s="12">
        <f t="shared" si="3"/>
        <v>0.96580188679245282</v>
      </c>
      <c r="I17" s="12">
        <f t="shared" si="3"/>
        <v>0.96578171091445431</v>
      </c>
      <c r="J17" s="12">
        <f t="shared" si="3"/>
        <v>0.96590241034685476</v>
      </c>
      <c r="K17" s="12">
        <f t="shared" si="3"/>
        <v>0.96541617819460723</v>
      </c>
      <c r="L17" s="12">
        <f t="shared" si="3"/>
        <v>0.96545667447306793</v>
      </c>
      <c r="M17" s="12">
        <f t="shared" si="3"/>
        <v>0.96555750145942787</v>
      </c>
      <c r="N17" s="12">
        <f t="shared" si="3"/>
        <v>0.96555750145942787</v>
      </c>
      <c r="O17" s="13">
        <f t="shared" si="3"/>
        <v>0.96566123010414617</v>
      </c>
      <c r="V17" s="9"/>
      <c r="W17" s="10"/>
      <c r="X17" s="10"/>
    </row>
    <row r="18" spans="1:24" ht="14.25" customHeight="1" x14ac:dyDescent="0.25">
      <c r="A18" s="243" t="s">
        <v>37</v>
      </c>
      <c r="B18" s="40" t="s">
        <v>254</v>
      </c>
      <c r="C18" s="23">
        <f>'TARQUI-18'!D$7</f>
        <v>1618</v>
      </c>
      <c r="D18" s="23">
        <f>'TARQUI-18'!E$7</f>
        <v>1624</v>
      </c>
      <c r="E18" s="23">
        <f>'TARQUI-18'!F$7</f>
        <v>1630</v>
      </c>
      <c r="F18" s="23">
        <f>'TARQUI-18'!G$7</f>
        <v>1630</v>
      </c>
      <c r="G18" s="23">
        <f>'TARQUI-18'!H$7</f>
        <v>1633</v>
      </c>
      <c r="H18" s="23">
        <f>'TARQUI-18'!I$7</f>
        <v>1638</v>
      </c>
      <c r="I18" s="23">
        <f>'TARQUI-18'!J$7</f>
        <v>1637</v>
      </c>
      <c r="J18" s="23">
        <f>'TARQUI-18'!K$7</f>
        <v>1643</v>
      </c>
      <c r="K18" s="23">
        <f>'TARQUI-18'!L$7</f>
        <v>1647</v>
      </c>
      <c r="L18" s="23">
        <f>'TARQUI-18'!M$7</f>
        <v>1649</v>
      </c>
      <c r="M18" s="23">
        <f>'TARQUI-18'!N$7</f>
        <v>1654</v>
      </c>
      <c r="N18" s="23">
        <f>'TARQUI-18'!O$7</f>
        <v>1654</v>
      </c>
      <c r="O18" s="24">
        <f>SUM(C18:N18)</f>
        <v>19657</v>
      </c>
      <c r="V18" s="9"/>
      <c r="W18" s="10"/>
      <c r="X18" s="10"/>
    </row>
    <row r="19" spans="1:24" ht="12.75" customHeight="1" x14ac:dyDescent="0.25">
      <c r="A19" s="243"/>
      <c r="B19" s="40" t="s">
        <v>137</v>
      </c>
      <c r="C19" s="23">
        <f>+'05'!C19</f>
        <v>1675</v>
      </c>
      <c r="D19" s="23">
        <f>+'05'!D19</f>
        <v>1682</v>
      </c>
      <c r="E19" s="23">
        <f>+'05'!E19</f>
        <v>1688</v>
      </c>
      <c r="F19" s="23">
        <f>+'05'!F19</f>
        <v>1688</v>
      </c>
      <c r="G19" s="23">
        <f>+'05'!G19</f>
        <v>1691</v>
      </c>
      <c r="H19" s="23">
        <f>+'05'!H19</f>
        <v>1696</v>
      </c>
      <c r="I19" s="23">
        <f>+'05'!I19</f>
        <v>1695</v>
      </c>
      <c r="J19" s="23">
        <f>+'05'!J19</f>
        <v>1701</v>
      </c>
      <c r="K19" s="23">
        <f>+'05'!K19</f>
        <v>1706</v>
      </c>
      <c r="L19" s="23">
        <f>+'05'!L19</f>
        <v>1708</v>
      </c>
      <c r="M19" s="23">
        <f>+'05'!M19</f>
        <v>1713</v>
      </c>
      <c r="N19" s="23">
        <f>+'05'!N19</f>
        <v>1713</v>
      </c>
      <c r="O19" s="24">
        <f>SUM(C19:N19)</f>
        <v>20356</v>
      </c>
      <c r="V19" s="9"/>
      <c r="W19" s="10"/>
      <c r="X19" s="10"/>
    </row>
    <row r="20" spans="1:24" ht="17.25" customHeight="1" x14ac:dyDescent="0.25">
      <c r="A20" s="243"/>
      <c r="B20" s="7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9"/>
      <c r="V20" s="9"/>
      <c r="W20" s="10"/>
      <c r="X20" s="10"/>
    </row>
    <row r="21" spans="1:24" ht="18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69" t="str">
        <f>'SET SP Tarquí'!$G11</f>
        <v>Entre 80% y 100%</v>
      </c>
      <c r="E22" s="270"/>
      <c r="F22" s="270"/>
      <c r="G22" s="271"/>
      <c r="H22" s="234" t="str">
        <f>'SET SP Tarquí'!$H11</f>
        <v>Entre 60% y 79%</v>
      </c>
      <c r="I22" s="235"/>
      <c r="J22" s="235"/>
      <c r="K22" s="236"/>
      <c r="L22" s="234" t="str">
        <f>'SET SP Tarquí'!$I11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24.75" customHeight="1" x14ac:dyDescent="0.25">
      <c r="A27" s="158" t="s">
        <v>288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288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287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288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287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288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25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1"/>
    </row>
    <row r="41" spans="1:17" ht="15.75" thickBot="1" x14ac:dyDescent="0.3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4"/>
    </row>
    <row r="42" spans="1:17" ht="6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</row>
    <row r="44" spans="1:17" ht="14.25" x14ac:dyDescent="0.2">
      <c r="Q44" s="49" t="s">
        <v>81</v>
      </c>
    </row>
    <row r="45" spans="1:17" ht="14.25" x14ac:dyDescent="0.2">
      <c r="Q45" s="49" t="s">
        <v>82</v>
      </c>
    </row>
    <row r="46" spans="1:17" ht="14.25" x14ac:dyDescent="0.2">
      <c r="Q46" s="49" t="s">
        <v>83</v>
      </c>
    </row>
    <row r="47" spans="1:17" ht="14.25" x14ac:dyDescent="0.2">
      <c r="Q47" s="49" t="s">
        <v>84</v>
      </c>
    </row>
    <row r="48" spans="1:17" ht="14.25" x14ac:dyDescent="0.2">
      <c r="Q48" s="49" t="s">
        <v>85</v>
      </c>
    </row>
    <row r="49" spans="17:17" ht="14.25" x14ac:dyDescent="0.2">
      <c r="Q49" s="49" t="s">
        <v>86</v>
      </c>
    </row>
    <row r="50" spans="17:17" ht="14.25" x14ac:dyDescent="0.2">
      <c r="Q50" s="49" t="s">
        <v>87</v>
      </c>
    </row>
    <row r="51" spans="17:17" ht="14.25" x14ac:dyDescent="0.2">
      <c r="Q51" s="49" t="s">
        <v>88</v>
      </c>
    </row>
    <row r="52" spans="17:17" ht="14.25" x14ac:dyDescent="0.2">
      <c r="Q52" s="49" t="s">
        <v>89</v>
      </c>
    </row>
    <row r="53" spans="17:17" ht="14.25" x14ac:dyDescent="0.2">
      <c r="Q53" s="49" t="s">
        <v>90</v>
      </c>
    </row>
    <row r="54" spans="17:17" ht="14.25" x14ac:dyDescent="0.2">
      <c r="Q54" s="49" t="s">
        <v>91</v>
      </c>
    </row>
    <row r="55" spans="17:17" ht="14.25" x14ac:dyDescent="0.2">
      <c r="Q55" s="49" t="s">
        <v>92</v>
      </c>
    </row>
    <row r="56" spans="17:17" ht="14.25" x14ac:dyDescent="0.2">
      <c r="Q56" s="49" t="s">
        <v>93</v>
      </c>
    </row>
    <row r="58" spans="17:17" x14ac:dyDescent="0.25">
      <c r="Q58" s="11">
        <v>0.92</v>
      </c>
    </row>
    <row r="59" spans="17:17" x14ac:dyDescent="0.25">
      <c r="Q59" s="11">
        <v>1</v>
      </c>
    </row>
  </sheetData>
  <mergeCells count="74">
    <mergeCell ref="A38:M38"/>
    <mergeCell ref="N38:O38"/>
    <mergeCell ref="A35:M35"/>
    <mergeCell ref="N35:O35"/>
    <mergeCell ref="A36:M36"/>
    <mergeCell ref="N36:O36"/>
    <mergeCell ref="A37:M37"/>
    <mergeCell ref="N37:O37"/>
    <mergeCell ref="A32:M32"/>
    <mergeCell ref="N32:O32"/>
    <mergeCell ref="A33:M33"/>
    <mergeCell ref="N33:O33"/>
    <mergeCell ref="A34:M34"/>
    <mergeCell ref="N34:O34"/>
    <mergeCell ref="A29:M29"/>
    <mergeCell ref="N29:O29"/>
    <mergeCell ref="A30:M30"/>
    <mergeCell ref="N30:O30"/>
    <mergeCell ref="A31:M31"/>
    <mergeCell ref="N31:O31"/>
    <mergeCell ref="A42:O42"/>
    <mergeCell ref="A4:E4"/>
    <mergeCell ref="F4:O4"/>
    <mergeCell ref="A1:C2"/>
    <mergeCell ref="D1:O1"/>
    <mergeCell ref="D2:O2"/>
    <mergeCell ref="A11:O11"/>
    <mergeCell ref="I7:I8"/>
    <mergeCell ref="A5:E5"/>
    <mergeCell ref="A3:E3"/>
    <mergeCell ref="F3:O3"/>
    <mergeCell ref="N8:O8"/>
    <mergeCell ref="F5:O5"/>
    <mergeCell ref="J7:K8"/>
    <mergeCell ref="L7:O7"/>
    <mergeCell ref="L8:M8"/>
    <mergeCell ref="A6:E6"/>
    <mergeCell ref="A7:D8"/>
    <mergeCell ref="E7:E8"/>
    <mergeCell ref="F7:G8"/>
    <mergeCell ref="H7:H8"/>
    <mergeCell ref="G6:O6"/>
    <mergeCell ref="A41:M41"/>
    <mergeCell ref="N41:O41"/>
    <mergeCell ref="A16:B16"/>
    <mergeCell ref="A17:B17"/>
    <mergeCell ref="A18:A21"/>
    <mergeCell ref="L22:O22"/>
    <mergeCell ref="D23:G23"/>
    <mergeCell ref="H23:K23"/>
    <mergeCell ref="L23:O23"/>
    <mergeCell ref="A24:O24"/>
    <mergeCell ref="A25:O25"/>
    <mergeCell ref="H22:K22"/>
    <mergeCell ref="A22:C23"/>
    <mergeCell ref="D22:G22"/>
    <mergeCell ref="A39:M39"/>
    <mergeCell ref="N39:O39"/>
    <mergeCell ref="A40:M40"/>
    <mergeCell ref="N40:O40"/>
    <mergeCell ref="J9:O9"/>
    <mergeCell ref="A26:M26"/>
    <mergeCell ref="N26:O26"/>
    <mergeCell ref="A15:B15"/>
    <mergeCell ref="A12:O12"/>
    <mergeCell ref="A13:O13"/>
    <mergeCell ref="A14:B14"/>
    <mergeCell ref="A9:D9"/>
    <mergeCell ref="F9:G9"/>
    <mergeCell ref="A10:O10"/>
    <mergeCell ref="A27:M27"/>
    <mergeCell ref="N27:O27"/>
    <mergeCell ref="A28:M28"/>
    <mergeCell ref="N28:O2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4"/>
  <sheetViews>
    <sheetView topLeftCell="A26" zoomScaleSheetLayoutView="72" workbookViewId="0">
      <selection activeCell="A46" sqref="A46:M4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12.140625" style="3" customWidth="1"/>
    <col min="4" max="11" width="7.7109375" style="3" customWidth="1"/>
    <col min="12" max="12" width="8.28515625" style="3" customWidth="1"/>
    <col min="13" max="15" width="7.7109375" style="3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Tarquí'!$B12</f>
        <v xml:space="preserve">Cobertura   (Servicio de Aseo) 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Tarquí'!F12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Tarquí'!A12</f>
        <v>IN07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47.25" customHeight="1" thickBot="1" x14ac:dyDescent="0.3">
      <c r="A9" s="194" t="str">
        <f>'SET SP Tarquí'!$C12</f>
        <v xml:space="preserve">Medir el grado de cobertura en   la prestación del servicio de aseo administrado  por Aguas del Huila. </v>
      </c>
      <c r="B9" s="195"/>
      <c r="C9" s="195"/>
      <c r="D9" s="195"/>
      <c r="E9" s="17" t="s">
        <v>35</v>
      </c>
      <c r="F9" s="195" t="str">
        <f>'SET SP Tarquí'!$D12</f>
        <v xml:space="preserve">(Residuos sólidos recolectada/ Residuos sólidos producidos) x 100%           </v>
      </c>
      <c r="G9" s="195"/>
      <c r="H9" s="22">
        <f>$O16</f>
        <v>1</v>
      </c>
      <c r="I9" s="16" t="str">
        <f>'SET SP Tarquí'!$E12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18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8"/>
      <c r="X12" s="8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0.95</v>
      </c>
      <c r="D15" s="127">
        <f t="shared" si="0"/>
        <v>0.95</v>
      </c>
      <c r="E15" s="127">
        <f t="shared" si="0"/>
        <v>0.95</v>
      </c>
      <c r="F15" s="127">
        <f t="shared" si="0"/>
        <v>0.95</v>
      </c>
      <c r="G15" s="127">
        <f t="shared" si="0"/>
        <v>0.95</v>
      </c>
      <c r="H15" s="127">
        <f t="shared" si="0"/>
        <v>0.95</v>
      </c>
      <c r="I15" s="127">
        <f t="shared" si="0"/>
        <v>0.95</v>
      </c>
      <c r="J15" s="127">
        <f t="shared" si="0"/>
        <v>0.95</v>
      </c>
      <c r="K15" s="127">
        <f t="shared" si="0"/>
        <v>0.95</v>
      </c>
      <c r="L15" s="127">
        <f t="shared" si="0"/>
        <v>0.95</v>
      </c>
      <c r="M15" s="127">
        <f t="shared" si="0"/>
        <v>0.95</v>
      </c>
      <c r="N15" s="127">
        <f t="shared" si="0"/>
        <v>0.95</v>
      </c>
      <c r="O15" s="132">
        <f>'SET SP Tarquí'!J12</f>
        <v>0.95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1</v>
      </c>
      <c r="D16" s="127">
        <f t="shared" si="1"/>
        <v>1</v>
      </c>
      <c r="E16" s="127">
        <f t="shared" si="1"/>
        <v>1</v>
      </c>
      <c r="F16" s="127">
        <f t="shared" si="1"/>
        <v>1</v>
      </c>
      <c r="G16" s="127">
        <f t="shared" si="1"/>
        <v>1</v>
      </c>
      <c r="H16" s="127">
        <f t="shared" si="1"/>
        <v>1</v>
      </c>
      <c r="I16" s="127">
        <f t="shared" si="1"/>
        <v>1</v>
      </c>
      <c r="J16" s="127">
        <f t="shared" si="1"/>
        <v>1</v>
      </c>
      <c r="K16" s="127">
        <f t="shared" si="1"/>
        <v>1</v>
      </c>
      <c r="L16" s="127">
        <f t="shared" si="1"/>
        <v>1</v>
      </c>
      <c r="M16" s="127">
        <f t="shared" si="1"/>
        <v>1</v>
      </c>
      <c r="N16" s="127">
        <f t="shared" si="1"/>
        <v>1</v>
      </c>
      <c r="O16" s="132">
        <f>'SET SP Tarquí'!K12</f>
        <v>1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74">
        <f>IF(ISNUMBER(C19),C18/C19,"-")</f>
        <v>0.96474209495382901</v>
      </c>
      <c r="D17" s="74">
        <f t="shared" ref="D17:O17" si="2">IF(ISNUMBER(D19),D18/D19,"-")</f>
        <v>0.96377875673029867</v>
      </c>
      <c r="E17" s="74">
        <f t="shared" si="2"/>
        <v>0.96381989338777363</v>
      </c>
      <c r="F17" s="74">
        <f t="shared" si="2"/>
        <v>0.96386775892334697</v>
      </c>
      <c r="G17" s="74">
        <f t="shared" si="2"/>
        <v>0.96391550948562477</v>
      </c>
      <c r="H17" s="74">
        <f t="shared" si="2"/>
        <v>0.96402594849616674</v>
      </c>
      <c r="I17" s="74">
        <f t="shared" si="2"/>
        <v>0.96404306470157841</v>
      </c>
      <c r="J17" s="74">
        <f t="shared" si="2"/>
        <v>0.96417030982702912</v>
      </c>
      <c r="K17" s="74">
        <f t="shared" si="2"/>
        <v>0.96429339642933953</v>
      </c>
      <c r="L17" s="74">
        <f t="shared" si="2"/>
        <v>0.96430719871666348</v>
      </c>
      <c r="M17" s="74">
        <f t="shared" si="2"/>
        <v>0.96440129449838197</v>
      </c>
      <c r="N17" s="74">
        <f t="shared" si="2"/>
        <v>0.96434074400176095</v>
      </c>
      <c r="O17" s="75">
        <f t="shared" si="2"/>
        <v>0.96416057751562656</v>
      </c>
      <c r="V17" s="9"/>
      <c r="W17" s="10"/>
      <c r="X17" s="10"/>
    </row>
    <row r="18" spans="1:24" ht="17.25" customHeight="1" x14ac:dyDescent="0.25">
      <c r="A18" s="243" t="s">
        <v>37</v>
      </c>
      <c r="B18" s="40" t="s">
        <v>138</v>
      </c>
      <c r="C18" s="4">
        <f>'TARQUI-18'!D$36</f>
        <v>103.43</v>
      </c>
      <c r="D18" s="4">
        <f>'TARQUI-18'!E$36</f>
        <v>78.760000000000005</v>
      </c>
      <c r="E18" s="4">
        <f>'TARQUI-18'!F$36</f>
        <v>84.98</v>
      </c>
      <c r="F18" s="4">
        <f>'TARQUI-18'!G$36</f>
        <v>65.89</v>
      </c>
      <c r="G18" s="4">
        <f>'TARQUI-18'!H$36</f>
        <v>98.57</v>
      </c>
      <c r="H18" s="4">
        <f>'TARQUI-18'!I$36</f>
        <v>98.08</v>
      </c>
      <c r="I18" s="4">
        <f>'TARQUI-18'!J$36</f>
        <v>92.23</v>
      </c>
      <c r="J18" s="4">
        <f>'TARQUI-18'!K$36</f>
        <v>101.45</v>
      </c>
      <c r="K18" s="4">
        <f>'TARQUI-18'!L$36</f>
        <v>89.66</v>
      </c>
      <c r="L18" s="4">
        <f>'TARQUI-18'!M$36</f>
        <v>96.18</v>
      </c>
      <c r="M18" s="4">
        <f>'TARQUI-18'!N$36</f>
        <v>98.34</v>
      </c>
      <c r="N18" s="4">
        <f>'TARQUI-18'!O$36</f>
        <v>87.62</v>
      </c>
      <c r="O18" s="19">
        <f>SUM(C18:N18)</f>
        <v>1095.19</v>
      </c>
      <c r="V18" s="9"/>
      <c r="W18" s="10"/>
      <c r="X18" s="10"/>
    </row>
    <row r="19" spans="1:24" ht="17.25" customHeight="1" x14ac:dyDescent="0.25">
      <c r="A19" s="243"/>
      <c r="B19" s="40" t="s">
        <v>139</v>
      </c>
      <c r="C19" s="4">
        <f>ROUND(+C18/'TARQUI-18'!D55,2)</f>
        <v>107.21</v>
      </c>
      <c r="D19" s="4">
        <f>ROUND(+D18/'TARQUI-18'!E55,2)</f>
        <v>81.72</v>
      </c>
      <c r="E19" s="4">
        <f>ROUND(+E18/'TARQUI-18'!F55,2)</f>
        <v>88.17</v>
      </c>
      <c r="F19" s="4">
        <f>ROUND(+F18/'TARQUI-18'!G55,2)</f>
        <v>68.36</v>
      </c>
      <c r="G19" s="4">
        <f>ROUND(+G18/'TARQUI-18'!H55,2)</f>
        <v>102.26</v>
      </c>
      <c r="H19" s="4">
        <f>ROUND(+H18/'TARQUI-18'!I55,2)</f>
        <v>101.74</v>
      </c>
      <c r="I19" s="4">
        <f>ROUND(+I18/'TARQUI-18'!J55,2)</f>
        <v>95.67</v>
      </c>
      <c r="J19" s="4">
        <f>ROUND(+J18/'TARQUI-18'!K55,2)</f>
        <v>105.22</v>
      </c>
      <c r="K19" s="4">
        <f>ROUND(+K18/'TARQUI-18'!L55,2)</f>
        <v>92.98</v>
      </c>
      <c r="L19" s="4">
        <f>ROUND(+L18/'TARQUI-18'!M55,2)</f>
        <v>99.74</v>
      </c>
      <c r="M19" s="4">
        <f>ROUND(+M18/'TARQUI-18'!N55,2)</f>
        <v>101.97</v>
      </c>
      <c r="N19" s="4">
        <f>ROUND(+N18/'TARQUI-18'!O55,2)</f>
        <v>90.86</v>
      </c>
      <c r="O19" s="19">
        <f>SUM(C19:N19)</f>
        <v>1135.8999999999999</v>
      </c>
      <c r="V19" s="9"/>
      <c r="W19" s="10"/>
      <c r="X19" s="10"/>
    </row>
    <row r="20" spans="1:24" ht="15" customHeight="1" x14ac:dyDescent="0.25">
      <c r="A20" s="272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3.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Tarquí'!$G12</f>
        <v>Entre 80% y 100%</v>
      </c>
      <c r="E22" s="235"/>
      <c r="F22" s="235"/>
      <c r="G22" s="236"/>
      <c r="H22" s="234" t="str">
        <f>'SET SP Tarquí'!$H12</f>
        <v>Entre 60% y 79%</v>
      </c>
      <c r="I22" s="235"/>
      <c r="J22" s="235"/>
      <c r="K22" s="236"/>
      <c r="L22" s="234" t="str">
        <f>'SET SP Tarquí'!$I12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289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289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289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289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289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289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5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5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5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5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5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5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5" ht="25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5" ht="15" x14ac:dyDescent="0.25">
      <c r="A40" s="158" t="s">
        <v>290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9">
        <v>43101</v>
      </c>
      <c r="O40" s="170"/>
    </row>
    <row r="41" spans="1:15" ht="15" x14ac:dyDescent="0.25">
      <c r="A41" s="158" t="s">
        <v>290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9">
        <v>43132</v>
      </c>
      <c r="O41" s="170"/>
    </row>
    <row r="42" spans="1:15" ht="15" x14ac:dyDescent="0.25">
      <c r="A42" s="158" t="s">
        <v>290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9">
        <v>43160</v>
      </c>
      <c r="O42" s="170"/>
    </row>
    <row r="43" spans="1:15" ht="15" x14ac:dyDescent="0.25">
      <c r="A43" s="158" t="s">
        <v>290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9">
        <v>43191</v>
      </c>
      <c r="O43" s="170"/>
    </row>
    <row r="44" spans="1:15" ht="15" x14ac:dyDescent="0.25">
      <c r="A44" s="158" t="s">
        <v>290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69">
        <v>43221</v>
      </c>
      <c r="O44" s="170"/>
    </row>
    <row r="45" spans="1:15" ht="15" x14ac:dyDescent="0.25">
      <c r="A45" s="158" t="s">
        <v>290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69">
        <v>43252</v>
      </c>
      <c r="O45" s="170"/>
    </row>
    <row r="46" spans="1:15" ht="15.75" thickBot="1" x14ac:dyDescent="0.3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1:15" ht="6" customHeight="1" x14ac:dyDescent="0.25">
      <c r="A47" s="230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</row>
    <row r="49" spans="17:17" ht="14.25" x14ac:dyDescent="0.2">
      <c r="Q49" s="49" t="s">
        <v>81</v>
      </c>
    </row>
    <row r="50" spans="17:17" ht="14.25" x14ac:dyDescent="0.2">
      <c r="Q50" s="49" t="s">
        <v>82</v>
      </c>
    </row>
    <row r="51" spans="17:17" ht="14.25" x14ac:dyDescent="0.2">
      <c r="Q51" s="49" t="s">
        <v>83</v>
      </c>
    </row>
    <row r="52" spans="17:17" ht="14.25" x14ac:dyDescent="0.2">
      <c r="Q52" s="49" t="s">
        <v>84</v>
      </c>
    </row>
    <row r="53" spans="17:17" ht="14.25" x14ac:dyDescent="0.2">
      <c r="Q53" s="49" t="s">
        <v>85</v>
      </c>
    </row>
    <row r="54" spans="17:17" ht="14.25" x14ac:dyDescent="0.2">
      <c r="Q54" s="49" t="s">
        <v>86</v>
      </c>
    </row>
    <row r="55" spans="17:17" ht="14.25" x14ac:dyDescent="0.2">
      <c r="Q55" s="49" t="s">
        <v>87</v>
      </c>
    </row>
    <row r="56" spans="17:17" ht="14.25" x14ac:dyDescent="0.2">
      <c r="Q56" s="49" t="s">
        <v>88</v>
      </c>
    </row>
    <row r="57" spans="17:17" ht="14.25" x14ac:dyDescent="0.2">
      <c r="Q57" s="49" t="s">
        <v>89</v>
      </c>
    </row>
    <row r="58" spans="17:17" ht="14.25" x14ac:dyDescent="0.2">
      <c r="Q58" s="49" t="s">
        <v>90</v>
      </c>
    </row>
    <row r="59" spans="17:17" ht="14.25" x14ac:dyDescent="0.2">
      <c r="Q59" s="49" t="s">
        <v>91</v>
      </c>
    </row>
    <row r="60" spans="17:17" ht="14.25" x14ac:dyDescent="0.2">
      <c r="Q60" s="49" t="s">
        <v>92</v>
      </c>
    </row>
    <row r="61" spans="17:17" ht="14.25" x14ac:dyDescent="0.2">
      <c r="Q61" s="49" t="s">
        <v>93</v>
      </c>
    </row>
    <row r="63" spans="17:17" x14ac:dyDescent="0.25">
      <c r="Q63" s="25">
        <v>0.92</v>
      </c>
    </row>
    <row r="64" spans="17:17" x14ac:dyDescent="0.25">
      <c r="Q64" s="25">
        <v>1</v>
      </c>
    </row>
  </sheetData>
  <mergeCells count="84">
    <mergeCell ref="N41:O41"/>
    <mergeCell ref="N42:O42"/>
    <mergeCell ref="N43:O43"/>
    <mergeCell ref="N44:O44"/>
    <mergeCell ref="N45:O45"/>
    <mergeCell ref="A41:M41"/>
    <mergeCell ref="A42:M42"/>
    <mergeCell ref="A43:M43"/>
    <mergeCell ref="A44:M44"/>
    <mergeCell ref="A45:M45"/>
    <mergeCell ref="A38:M38"/>
    <mergeCell ref="N38:O38"/>
    <mergeCell ref="A35:M35"/>
    <mergeCell ref="N35:O35"/>
    <mergeCell ref="A36:M36"/>
    <mergeCell ref="N36:O36"/>
    <mergeCell ref="A37:M37"/>
    <mergeCell ref="N37:O37"/>
    <mergeCell ref="N32:O32"/>
    <mergeCell ref="A33:M33"/>
    <mergeCell ref="N33:O33"/>
    <mergeCell ref="A34:M34"/>
    <mergeCell ref="N34:O34"/>
    <mergeCell ref="A32:M32"/>
    <mergeCell ref="A47:O47"/>
    <mergeCell ref="N8:O8"/>
    <mergeCell ref="A9:D9"/>
    <mergeCell ref="F9:G9"/>
    <mergeCell ref="L22:O22"/>
    <mergeCell ref="D23:G23"/>
    <mergeCell ref="H23:K23"/>
    <mergeCell ref="H22:K22"/>
    <mergeCell ref="A22:C23"/>
    <mergeCell ref="D22:G22"/>
    <mergeCell ref="I7:I8"/>
    <mergeCell ref="A39:M39"/>
    <mergeCell ref="N39:O39"/>
    <mergeCell ref="A40:M40"/>
    <mergeCell ref="N40:O40"/>
    <mergeCell ref="A26:M26"/>
    <mergeCell ref="A5:E5"/>
    <mergeCell ref="A16:B16"/>
    <mergeCell ref="A17:B17"/>
    <mergeCell ref="A18:A21"/>
    <mergeCell ref="A15:B15"/>
    <mergeCell ref="F5:O5"/>
    <mergeCell ref="A46:M46"/>
    <mergeCell ref="N46:O46"/>
    <mergeCell ref="D1:O1"/>
    <mergeCell ref="D2:O2"/>
    <mergeCell ref="A3:E3"/>
    <mergeCell ref="F3:O3"/>
    <mergeCell ref="A4:E4"/>
    <mergeCell ref="F4:O4"/>
    <mergeCell ref="A1:C2"/>
    <mergeCell ref="G6:O6"/>
    <mergeCell ref="A6:E6"/>
    <mergeCell ref="A7:D8"/>
    <mergeCell ref="E7:E8"/>
    <mergeCell ref="F7:G8"/>
    <mergeCell ref="H7:H8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J7:K8"/>
    <mergeCell ref="L7:O7"/>
    <mergeCell ref="L8:M8"/>
    <mergeCell ref="A10:O10"/>
    <mergeCell ref="J9:O9"/>
    <mergeCell ref="A25:O25"/>
    <mergeCell ref="L23:O23"/>
    <mergeCell ref="A24:O24"/>
    <mergeCell ref="A11:O11"/>
    <mergeCell ref="A12:O12"/>
    <mergeCell ref="A13:O13"/>
    <mergeCell ref="A14:B14"/>
  </mergeCells>
  <dataValidations count="1">
    <dataValidation type="list" allowBlank="1" showInputMessage="1" showErrorMessage="1" sqref="J9:O9">
      <formula1>$Q$49:$Q$61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63"/>
  <sheetViews>
    <sheetView topLeftCell="A26" zoomScaleSheetLayoutView="72" workbookViewId="0">
      <selection activeCell="A43" sqref="A43:M43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7" style="3" customWidth="1"/>
    <col min="17" max="18" width="7" style="3" hidden="1" customWidth="1"/>
    <col min="19" max="19" width="7" style="3" customWidth="1"/>
    <col min="20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171"/>
      <c r="B1" s="172"/>
      <c r="C1" s="173"/>
      <c r="D1" s="185" t="s">
        <v>20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24" ht="15.75" customHeight="1" thickBot="1" x14ac:dyDescent="0.3">
      <c r="A2" s="174"/>
      <c r="B2" s="175"/>
      <c r="C2" s="176"/>
      <c r="D2" s="187" t="s">
        <v>67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8"/>
    </row>
    <row r="3" spans="1:24" ht="13.5" customHeight="1" x14ac:dyDescent="0.25">
      <c r="A3" s="177" t="s">
        <v>0</v>
      </c>
      <c r="B3" s="178"/>
      <c r="C3" s="178"/>
      <c r="D3" s="178"/>
      <c r="E3" s="178"/>
      <c r="F3" s="178" t="str">
        <f>'SET SP Tarquí'!J3</f>
        <v>GESTIÓN DE SERVICIOS PÚBLICOS - TARQUÍ</v>
      </c>
      <c r="G3" s="178"/>
      <c r="H3" s="178"/>
      <c r="I3" s="178"/>
      <c r="J3" s="178"/>
      <c r="K3" s="178"/>
      <c r="L3" s="178"/>
      <c r="M3" s="178"/>
      <c r="N3" s="178"/>
      <c r="O3" s="179"/>
    </row>
    <row r="4" spans="1:24" ht="15.75" customHeight="1" x14ac:dyDescent="0.25">
      <c r="A4" s="180" t="s">
        <v>1</v>
      </c>
      <c r="B4" s="181"/>
      <c r="C4" s="181"/>
      <c r="D4" s="181"/>
      <c r="E4" s="181"/>
      <c r="F4" s="182" t="str">
        <f>'SET SP Tarquí'!$B13</f>
        <v>Cobertura de medición</v>
      </c>
      <c r="G4" s="182"/>
      <c r="H4" s="182"/>
      <c r="I4" s="182"/>
      <c r="J4" s="182"/>
      <c r="K4" s="182"/>
      <c r="L4" s="182"/>
      <c r="M4" s="182"/>
      <c r="N4" s="182"/>
      <c r="O4" s="258"/>
    </row>
    <row r="5" spans="1:24" ht="15.75" customHeight="1" x14ac:dyDescent="0.25">
      <c r="A5" s="180" t="s">
        <v>55</v>
      </c>
      <c r="B5" s="181"/>
      <c r="C5" s="181"/>
      <c r="D5" s="181"/>
      <c r="E5" s="181"/>
      <c r="F5" s="191" t="str">
        <f>'SET SP Tarquí'!F13</f>
        <v xml:space="preserve">Eficiencia </v>
      </c>
      <c r="G5" s="192"/>
      <c r="H5" s="192"/>
      <c r="I5" s="192"/>
      <c r="J5" s="192"/>
      <c r="K5" s="192"/>
      <c r="L5" s="192"/>
      <c r="M5" s="192"/>
      <c r="N5" s="192"/>
      <c r="O5" s="193"/>
    </row>
    <row r="6" spans="1:24" ht="17.25" customHeight="1" thickBot="1" x14ac:dyDescent="0.3">
      <c r="A6" s="199" t="s">
        <v>21</v>
      </c>
      <c r="B6" s="200"/>
      <c r="C6" s="200"/>
      <c r="D6" s="200"/>
      <c r="E6" s="200"/>
      <c r="F6" s="26" t="s">
        <v>94</v>
      </c>
      <c r="G6" s="201" t="str">
        <f>'SET SP Tarquí'!A13</f>
        <v>IN08</v>
      </c>
      <c r="H6" s="201"/>
      <c r="I6" s="201"/>
      <c r="J6" s="201"/>
      <c r="K6" s="201"/>
      <c r="L6" s="201"/>
      <c r="M6" s="201"/>
      <c r="N6" s="201"/>
      <c r="O6" s="259"/>
    </row>
    <row r="7" spans="1:24" ht="12.75" customHeight="1" x14ac:dyDescent="0.25">
      <c r="A7" s="204" t="s">
        <v>22</v>
      </c>
      <c r="B7" s="205"/>
      <c r="C7" s="205"/>
      <c r="D7" s="205"/>
      <c r="E7" s="207" t="s">
        <v>23</v>
      </c>
      <c r="F7" s="207" t="s">
        <v>24</v>
      </c>
      <c r="G7" s="207"/>
      <c r="H7" s="207" t="s">
        <v>25</v>
      </c>
      <c r="I7" s="207" t="s">
        <v>26</v>
      </c>
      <c r="J7" s="207" t="s">
        <v>27</v>
      </c>
      <c r="K7" s="207"/>
      <c r="L7" s="209" t="s">
        <v>28</v>
      </c>
      <c r="M7" s="209"/>
      <c r="N7" s="209"/>
      <c r="O7" s="210"/>
    </row>
    <row r="8" spans="1:24" ht="46.5" customHeight="1" x14ac:dyDescent="0.25">
      <c r="A8" s="206"/>
      <c r="B8" s="189"/>
      <c r="C8" s="189"/>
      <c r="D8" s="189"/>
      <c r="E8" s="208"/>
      <c r="F8" s="208"/>
      <c r="G8" s="208"/>
      <c r="H8" s="208"/>
      <c r="I8" s="208"/>
      <c r="J8" s="208"/>
      <c r="K8" s="208"/>
      <c r="L8" s="189" t="s">
        <v>29</v>
      </c>
      <c r="M8" s="189"/>
      <c r="N8" s="189" t="s">
        <v>30</v>
      </c>
      <c r="O8" s="190"/>
    </row>
    <row r="9" spans="1:24" ht="54.75" customHeight="1" thickBot="1" x14ac:dyDescent="0.3">
      <c r="A9" s="194" t="str">
        <f>'SET SP Tarquí'!$C13</f>
        <v>Lograr que los suscriptores del servicio de acueducto de Aguas del Huila, tengan su instrumento medición.</v>
      </c>
      <c r="B9" s="195"/>
      <c r="C9" s="195"/>
      <c r="D9" s="195"/>
      <c r="E9" s="17" t="s">
        <v>35</v>
      </c>
      <c r="F9" s="273" t="str">
        <f>'SET SP Tarquí'!$D13</f>
        <v xml:space="preserve">(Número de Medidores en servicio / Número de Suscriptores) x 100%          </v>
      </c>
      <c r="G9" s="274"/>
      <c r="H9" s="22">
        <f>$O16</f>
        <v>0.98</v>
      </c>
      <c r="I9" s="28" t="str">
        <f>'SET SP Tarquí'!$E13</f>
        <v>Trimestral</v>
      </c>
      <c r="J9" s="196" t="s">
        <v>89</v>
      </c>
      <c r="K9" s="197"/>
      <c r="L9" s="197"/>
      <c r="M9" s="197"/>
      <c r="N9" s="197"/>
      <c r="O9" s="198"/>
    </row>
    <row r="10" spans="1:24" ht="13.5" customHeight="1" x14ac:dyDescent="0.25">
      <c r="A10" s="216" t="s">
        <v>38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8"/>
    </row>
    <row r="11" spans="1:24" ht="24.75" customHeight="1" thickBot="1" x14ac:dyDescent="0.3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24" ht="15" customHeight="1" thickBot="1" x14ac:dyDescent="0.3">
      <c r="A12" s="222" t="s">
        <v>31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V12" s="9"/>
      <c r="W12" s="27"/>
      <c r="X12" s="27"/>
    </row>
    <row r="13" spans="1:24" ht="16.5" customHeight="1" x14ac:dyDescent="0.25">
      <c r="A13" s="225" t="s">
        <v>270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  <c r="V13" s="9"/>
      <c r="W13" s="10"/>
      <c r="X13" s="10"/>
    </row>
    <row r="14" spans="1:24" ht="16.5" customHeight="1" x14ac:dyDescent="0.25">
      <c r="A14" s="228" t="s">
        <v>32</v>
      </c>
      <c r="B14" s="229"/>
      <c r="C14" s="78" t="s">
        <v>8</v>
      </c>
      <c r="D14" s="78" t="s">
        <v>9</v>
      </c>
      <c r="E14" s="78" t="s">
        <v>10</v>
      </c>
      <c r="F14" s="78" t="s">
        <v>11</v>
      </c>
      <c r="G14" s="78" t="s">
        <v>12</v>
      </c>
      <c r="H14" s="78" t="s">
        <v>13</v>
      </c>
      <c r="I14" s="78" t="s">
        <v>14</v>
      </c>
      <c r="J14" s="78" t="s">
        <v>15</v>
      </c>
      <c r="K14" s="78" t="s">
        <v>16</v>
      </c>
      <c r="L14" s="78" t="s">
        <v>17</v>
      </c>
      <c r="M14" s="78" t="s">
        <v>18</v>
      </c>
      <c r="N14" s="78" t="s">
        <v>19</v>
      </c>
      <c r="O14" s="6" t="s">
        <v>33</v>
      </c>
      <c r="V14" s="9"/>
      <c r="W14" s="10"/>
      <c r="X14" s="10"/>
    </row>
    <row r="15" spans="1:24" ht="16.5" customHeight="1" x14ac:dyDescent="0.25">
      <c r="A15" s="237" t="s">
        <v>39</v>
      </c>
      <c r="B15" s="238"/>
      <c r="C15" s="127">
        <f t="shared" ref="C15:N15" si="0">$O$15</f>
        <v>0.96</v>
      </c>
      <c r="D15" s="127">
        <f t="shared" si="0"/>
        <v>0.96</v>
      </c>
      <c r="E15" s="127">
        <f t="shared" si="0"/>
        <v>0.96</v>
      </c>
      <c r="F15" s="127">
        <f t="shared" si="0"/>
        <v>0.96</v>
      </c>
      <c r="G15" s="127">
        <f t="shared" si="0"/>
        <v>0.96</v>
      </c>
      <c r="H15" s="127">
        <f t="shared" si="0"/>
        <v>0.96</v>
      </c>
      <c r="I15" s="127">
        <f t="shared" si="0"/>
        <v>0.96</v>
      </c>
      <c r="J15" s="127">
        <f t="shared" si="0"/>
        <v>0.96</v>
      </c>
      <c r="K15" s="127">
        <f t="shared" si="0"/>
        <v>0.96</v>
      </c>
      <c r="L15" s="127">
        <f t="shared" si="0"/>
        <v>0.96</v>
      </c>
      <c r="M15" s="127">
        <f t="shared" si="0"/>
        <v>0.96</v>
      </c>
      <c r="N15" s="127">
        <f t="shared" si="0"/>
        <v>0.96</v>
      </c>
      <c r="O15" s="131">
        <f>'SET SP Tarquí'!J13</f>
        <v>0.96</v>
      </c>
      <c r="V15" s="9"/>
      <c r="W15" s="10"/>
      <c r="X15" s="10"/>
    </row>
    <row r="16" spans="1:24" ht="17.25" customHeight="1" x14ac:dyDescent="0.25">
      <c r="A16" s="237" t="s">
        <v>269</v>
      </c>
      <c r="B16" s="238"/>
      <c r="C16" s="127">
        <f t="shared" ref="C16:N16" si="1">$O$16</f>
        <v>0.98</v>
      </c>
      <c r="D16" s="127">
        <f t="shared" si="1"/>
        <v>0.98</v>
      </c>
      <c r="E16" s="127">
        <f t="shared" si="1"/>
        <v>0.98</v>
      </c>
      <c r="F16" s="127">
        <f t="shared" si="1"/>
        <v>0.98</v>
      </c>
      <c r="G16" s="127">
        <f t="shared" si="1"/>
        <v>0.98</v>
      </c>
      <c r="H16" s="127">
        <f t="shared" si="1"/>
        <v>0.98</v>
      </c>
      <c r="I16" s="127">
        <f t="shared" si="1"/>
        <v>0.98</v>
      </c>
      <c r="J16" s="127">
        <f t="shared" si="1"/>
        <v>0.98</v>
      </c>
      <c r="K16" s="127">
        <f t="shared" si="1"/>
        <v>0.98</v>
      </c>
      <c r="L16" s="127">
        <f t="shared" si="1"/>
        <v>0.98</v>
      </c>
      <c r="M16" s="127">
        <f t="shared" si="1"/>
        <v>0.98</v>
      </c>
      <c r="N16" s="127">
        <f t="shared" si="1"/>
        <v>0.98</v>
      </c>
      <c r="O16" s="131">
        <f>'SET SP Tarquí'!K13</f>
        <v>0.98</v>
      </c>
      <c r="V16" s="9"/>
      <c r="W16" s="10"/>
      <c r="X16" s="10"/>
    </row>
    <row r="17" spans="1:24" ht="17.25" customHeight="1" x14ac:dyDescent="0.25">
      <c r="A17" s="241" t="s">
        <v>264</v>
      </c>
      <c r="B17" s="242"/>
      <c r="C17" s="12">
        <f t="shared" ref="C17:E17" si="2">IF((C19),C18/C19,"-")</f>
        <v>0.9529837251356239</v>
      </c>
      <c r="D17" s="12">
        <f t="shared" si="2"/>
        <v>0.94117647058823528</v>
      </c>
      <c r="E17" s="12">
        <f t="shared" si="2"/>
        <v>0.95394736842105265</v>
      </c>
      <c r="F17" s="12">
        <f>IF((F19),F18/F19,"-")</f>
        <v>0.96052631578947367</v>
      </c>
      <c r="G17" s="12">
        <f t="shared" ref="G17:O17" si="3">IF((G19),G18/G19,"-")</f>
        <v>0.96</v>
      </c>
      <c r="H17" s="12">
        <f t="shared" si="3"/>
        <v>0.95892857142857146</v>
      </c>
      <c r="I17" s="12">
        <f t="shared" si="3"/>
        <v>0.96188207266229897</v>
      </c>
      <c r="J17" s="12">
        <f t="shared" si="3"/>
        <v>0.95014836795252222</v>
      </c>
      <c r="K17" s="12">
        <f t="shared" si="3"/>
        <v>0.93254437869822482</v>
      </c>
      <c r="L17" s="12">
        <f t="shared" si="3"/>
        <v>0.96276595744680848</v>
      </c>
      <c r="M17" s="12">
        <f t="shared" si="3"/>
        <v>0.94932233352975837</v>
      </c>
      <c r="N17" s="12">
        <f t="shared" si="3"/>
        <v>0.95580436063641716</v>
      </c>
      <c r="O17" s="13">
        <f t="shared" si="3"/>
        <v>0.95333267208887129</v>
      </c>
      <c r="V17" s="9"/>
      <c r="W17" s="10"/>
      <c r="X17" s="10"/>
    </row>
    <row r="18" spans="1:24" ht="16.5" customHeight="1" x14ac:dyDescent="0.25">
      <c r="A18" s="243" t="s">
        <v>37</v>
      </c>
      <c r="B18" s="40" t="s">
        <v>140</v>
      </c>
      <c r="C18" s="23">
        <f>+'TARQUI-18'!D38</f>
        <v>1581</v>
      </c>
      <c r="D18" s="23">
        <f>+'TARQUI-18'!E38</f>
        <v>1568</v>
      </c>
      <c r="E18" s="23">
        <f>+'TARQUI-18'!F38</f>
        <v>1595</v>
      </c>
      <c r="F18" s="23">
        <f>+'TARQUI-18'!G38</f>
        <v>1606</v>
      </c>
      <c r="G18" s="23">
        <f>+'TARQUI-18'!H38</f>
        <v>1608</v>
      </c>
      <c r="H18" s="23">
        <f>+'TARQUI-18'!I38</f>
        <v>1611</v>
      </c>
      <c r="I18" s="23">
        <f>+'TARQUI-18'!J38</f>
        <v>1615</v>
      </c>
      <c r="J18" s="23">
        <f>+'TARQUI-18'!K38</f>
        <v>1601</v>
      </c>
      <c r="K18" s="23">
        <f>+'TARQUI-18'!L38</f>
        <v>1576</v>
      </c>
      <c r="L18" s="23">
        <f>+'TARQUI-18'!M38</f>
        <v>1629</v>
      </c>
      <c r="M18" s="23">
        <f>+'TARQUI-18'!N38</f>
        <v>1611</v>
      </c>
      <c r="N18" s="23">
        <f>+'TARQUI-18'!O38</f>
        <v>1622</v>
      </c>
      <c r="O18" s="24">
        <f>SUM(C18:N18)</f>
        <v>19223</v>
      </c>
      <c r="V18" s="9"/>
      <c r="W18" s="10"/>
      <c r="X18" s="10"/>
    </row>
    <row r="19" spans="1:24" ht="14.25" customHeight="1" x14ac:dyDescent="0.25">
      <c r="A19" s="243"/>
      <c r="B19" s="40" t="s">
        <v>136</v>
      </c>
      <c r="C19" s="23">
        <f>+'05'!C18</f>
        <v>1659</v>
      </c>
      <c r="D19" s="23">
        <f>+'05'!D18</f>
        <v>1666</v>
      </c>
      <c r="E19" s="23">
        <f>+'05'!E18</f>
        <v>1672</v>
      </c>
      <c r="F19" s="23">
        <f>+'05'!F18</f>
        <v>1672</v>
      </c>
      <c r="G19" s="23">
        <f>+'05'!G18</f>
        <v>1675</v>
      </c>
      <c r="H19" s="23">
        <f>+'05'!H18</f>
        <v>1680</v>
      </c>
      <c r="I19" s="23">
        <f>+'05'!I18</f>
        <v>1679</v>
      </c>
      <c r="J19" s="23">
        <f>+'05'!J18</f>
        <v>1685</v>
      </c>
      <c r="K19" s="23">
        <f>+'05'!K18</f>
        <v>1690</v>
      </c>
      <c r="L19" s="23">
        <f>+'05'!L18</f>
        <v>1692</v>
      </c>
      <c r="M19" s="23">
        <f>+'05'!M18</f>
        <v>1697</v>
      </c>
      <c r="N19" s="23">
        <f>+'05'!N18</f>
        <v>1697</v>
      </c>
      <c r="O19" s="24">
        <f>SUM(C19:N19)</f>
        <v>20164</v>
      </c>
      <c r="V19" s="9"/>
      <c r="W19" s="10"/>
      <c r="X19" s="10"/>
    </row>
    <row r="20" spans="1:24" ht="14.25" customHeight="1" x14ac:dyDescent="0.25">
      <c r="A20" s="272"/>
      <c r="B20" s="5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  <c r="V20" s="9"/>
      <c r="W20" s="10"/>
      <c r="X20" s="10"/>
    </row>
    <row r="21" spans="1:24" ht="14.25" customHeight="1" thickBot="1" x14ac:dyDescent="0.3">
      <c r="A21" s="244"/>
      <c r="B21" s="77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0"/>
      <c r="V21" s="9"/>
      <c r="W21" s="10"/>
      <c r="X21" s="10"/>
    </row>
    <row r="22" spans="1:24" ht="14.25" customHeight="1" thickBot="1" x14ac:dyDescent="0.3">
      <c r="A22" s="245" t="s">
        <v>34</v>
      </c>
      <c r="B22" s="246"/>
      <c r="C22" s="247"/>
      <c r="D22" s="234" t="str">
        <f>'SET SP Tarquí'!$G13</f>
        <v>Entre 80% y 100%</v>
      </c>
      <c r="E22" s="235"/>
      <c r="F22" s="235"/>
      <c r="G22" s="236"/>
      <c r="H22" s="234" t="str">
        <f>'SET SP Tarquí'!$H13</f>
        <v>Entre 60% y 79%</v>
      </c>
      <c r="I22" s="235"/>
      <c r="J22" s="235"/>
      <c r="K22" s="236"/>
      <c r="L22" s="234" t="str">
        <f>'SET SP Tarquí'!$I13</f>
        <v>Menor al 59%</v>
      </c>
      <c r="M22" s="239"/>
      <c r="N22" s="239"/>
      <c r="O22" s="240"/>
      <c r="V22" s="9"/>
      <c r="W22" s="10"/>
      <c r="X22" s="10"/>
    </row>
    <row r="23" spans="1:24" ht="33" customHeight="1" thickBot="1" x14ac:dyDescent="0.3">
      <c r="A23" s="248"/>
      <c r="B23" s="249"/>
      <c r="C23" s="249"/>
      <c r="D23" s="250" t="s">
        <v>7</v>
      </c>
      <c r="E23" s="250"/>
      <c r="F23" s="250"/>
      <c r="G23" s="250"/>
      <c r="H23" s="251" t="s">
        <v>61</v>
      </c>
      <c r="I23" s="251"/>
      <c r="J23" s="251"/>
      <c r="K23" s="251"/>
      <c r="L23" s="211" t="s">
        <v>62</v>
      </c>
      <c r="M23" s="211"/>
      <c r="N23" s="211"/>
      <c r="O23" s="212"/>
      <c r="V23" s="9"/>
      <c r="W23" s="10"/>
      <c r="X23" s="10"/>
    </row>
    <row r="24" spans="1:24" ht="15.75" customHeight="1" thickBot="1" x14ac:dyDescent="0.3">
      <c r="A24" s="213" t="s">
        <v>36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5"/>
      <c r="V24" s="9"/>
      <c r="W24" s="10"/>
      <c r="X24" s="10"/>
    </row>
    <row r="25" spans="1:24" ht="264.75" customHeight="1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  <c r="V25" s="9"/>
    </row>
    <row r="26" spans="1:24" ht="15" customHeight="1" x14ac:dyDescent="0.25">
      <c r="A26" s="165" t="s">
        <v>58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7" t="s">
        <v>60</v>
      </c>
      <c r="O26" s="168"/>
    </row>
    <row r="27" spans="1:24" ht="15" customHeight="1" x14ac:dyDescent="0.25">
      <c r="A27" s="158" t="s">
        <v>291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9">
        <v>43101</v>
      </c>
      <c r="O27" s="170"/>
    </row>
    <row r="28" spans="1:24" ht="15" customHeight="1" x14ac:dyDescent="0.25">
      <c r="A28" s="158" t="s">
        <v>292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9">
        <v>43132</v>
      </c>
      <c r="O28" s="170"/>
    </row>
    <row r="29" spans="1:24" ht="15" customHeight="1" x14ac:dyDescent="0.25">
      <c r="A29" s="158" t="s">
        <v>291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69">
        <v>43160</v>
      </c>
      <c r="O29" s="170"/>
    </row>
    <row r="30" spans="1:24" ht="15" customHeight="1" x14ac:dyDescent="0.25">
      <c r="A30" s="158" t="s">
        <v>291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69">
        <v>43191</v>
      </c>
      <c r="O30" s="170"/>
    </row>
    <row r="31" spans="1:24" ht="15" customHeight="1" x14ac:dyDescent="0.25">
      <c r="A31" s="158" t="s">
        <v>291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9">
        <v>43221</v>
      </c>
      <c r="O31" s="170"/>
    </row>
    <row r="32" spans="1:24" ht="15" customHeight="1" x14ac:dyDescent="0.25">
      <c r="A32" s="158" t="s">
        <v>291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9">
        <v>43252</v>
      </c>
      <c r="O32" s="170"/>
    </row>
    <row r="33" spans="1:17" ht="15" customHeight="1" x14ac:dyDescent="0.25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69">
        <v>43282</v>
      </c>
      <c r="O33" s="170"/>
    </row>
    <row r="34" spans="1:17" ht="15" customHeight="1" x14ac:dyDescent="0.2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9">
        <v>43313</v>
      </c>
      <c r="O34" s="170"/>
    </row>
    <row r="35" spans="1:17" ht="15" customHeight="1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9">
        <v>43344</v>
      </c>
      <c r="O35" s="170"/>
    </row>
    <row r="36" spans="1:17" ht="1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69">
        <v>43374</v>
      </c>
      <c r="O36" s="170"/>
    </row>
    <row r="37" spans="1:17" ht="15" customHeight="1" x14ac:dyDescent="0.2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69">
        <v>43405</v>
      </c>
      <c r="O37" s="170"/>
    </row>
    <row r="38" spans="1:17" ht="15" customHeight="1" thickBot="1" x14ac:dyDescent="0.3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4"/>
      <c r="N38" s="169">
        <v>43435</v>
      </c>
      <c r="O38" s="170"/>
    </row>
    <row r="39" spans="1:17" ht="25.5" customHeight="1" x14ac:dyDescent="0.25">
      <c r="A39" s="165" t="s">
        <v>59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 t="s">
        <v>60</v>
      </c>
      <c r="O39" s="168"/>
    </row>
    <row r="40" spans="1:17" ht="15" x14ac:dyDescent="0.25">
      <c r="A40" s="158" t="s">
        <v>293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9">
        <v>43101</v>
      </c>
      <c r="O40" s="170"/>
    </row>
    <row r="41" spans="1:17" ht="15" x14ac:dyDescent="0.25">
      <c r="A41" s="158" t="s">
        <v>294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9">
        <v>43132</v>
      </c>
      <c r="O41" s="170"/>
    </row>
    <row r="42" spans="1:17" ht="15" x14ac:dyDescent="0.25">
      <c r="A42" s="158" t="s">
        <v>293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9">
        <v>43160</v>
      </c>
      <c r="O42" s="170"/>
    </row>
    <row r="43" spans="1:17" ht="15" x14ac:dyDescent="0.25">
      <c r="A43" s="158" t="s">
        <v>294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9">
        <v>43191</v>
      </c>
      <c r="O43" s="170"/>
    </row>
    <row r="44" spans="1:17" ht="15" customHeight="1" x14ac:dyDescent="0.25">
      <c r="A44" s="158" t="s">
        <v>293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69">
        <v>43221</v>
      </c>
      <c r="O44" s="170"/>
    </row>
    <row r="45" spans="1:17" ht="15.75" thickBot="1" x14ac:dyDescent="0.3">
      <c r="A45" s="158" t="s">
        <v>294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69">
        <v>43252</v>
      </c>
      <c r="O45" s="170"/>
    </row>
    <row r="46" spans="1:17" ht="3.75" customHeight="1" x14ac:dyDescent="0.25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</row>
    <row r="48" spans="1:17" ht="14.25" x14ac:dyDescent="0.2">
      <c r="Q48" s="49" t="s">
        <v>81</v>
      </c>
    </row>
    <row r="49" spans="17:17" ht="14.25" x14ac:dyDescent="0.2">
      <c r="Q49" s="49" t="s">
        <v>82</v>
      </c>
    </row>
    <row r="50" spans="17:17" ht="14.25" x14ac:dyDescent="0.2">
      <c r="Q50" s="49" t="s">
        <v>83</v>
      </c>
    </row>
    <row r="51" spans="17:17" ht="14.25" x14ac:dyDescent="0.2">
      <c r="Q51" s="49" t="s">
        <v>84</v>
      </c>
    </row>
    <row r="52" spans="17:17" ht="14.25" x14ac:dyDescent="0.2">
      <c r="Q52" s="49" t="s">
        <v>85</v>
      </c>
    </row>
    <row r="53" spans="17:17" ht="14.25" x14ac:dyDescent="0.2">
      <c r="Q53" s="49" t="s">
        <v>86</v>
      </c>
    </row>
    <row r="54" spans="17:17" ht="14.25" x14ac:dyDescent="0.2">
      <c r="Q54" s="49" t="s">
        <v>87</v>
      </c>
    </row>
    <row r="55" spans="17:17" ht="14.25" x14ac:dyDescent="0.2">
      <c r="Q55" s="49" t="s">
        <v>88</v>
      </c>
    </row>
    <row r="56" spans="17:17" ht="14.25" x14ac:dyDescent="0.2">
      <c r="Q56" s="49" t="s">
        <v>89</v>
      </c>
    </row>
    <row r="57" spans="17:17" ht="14.25" x14ac:dyDescent="0.2">
      <c r="Q57" s="49" t="s">
        <v>90</v>
      </c>
    </row>
    <row r="58" spans="17:17" ht="14.25" x14ac:dyDescent="0.2">
      <c r="Q58" s="49" t="s">
        <v>91</v>
      </c>
    </row>
    <row r="59" spans="17:17" ht="14.25" x14ac:dyDescent="0.2">
      <c r="Q59" s="49" t="s">
        <v>92</v>
      </c>
    </row>
    <row r="60" spans="17:17" ht="14.25" x14ac:dyDescent="0.2">
      <c r="Q60" s="49" t="s">
        <v>93</v>
      </c>
    </row>
    <row r="62" spans="17:17" x14ac:dyDescent="0.25">
      <c r="Q62" s="25">
        <v>0.88</v>
      </c>
    </row>
    <row r="63" spans="17:17" x14ac:dyDescent="0.25">
      <c r="Q63" s="25">
        <v>0.9</v>
      </c>
    </row>
  </sheetData>
  <mergeCells count="82">
    <mergeCell ref="A40:M40"/>
    <mergeCell ref="A41:M41"/>
    <mergeCell ref="A42:M42"/>
    <mergeCell ref="A43:M43"/>
    <mergeCell ref="N40:O40"/>
    <mergeCell ref="N41:O41"/>
    <mergeCell ref="N42:O42"/>
    <mergeCell ref="N43:O43"/>
    <mergeCell ref="A36:M36"/>
    <mergeCell ref="N36:O36"/>
    <mergeCell ref="A37:M37"/>
    <mergeCell ref="N37:O37"/>
    <mergeCell ref="A38:M38"/>
    <mergeCell ref="N38:O38"/>
    <mergeCell ref="A33:M33"/>
    <mergeCell ref="N33:O33"/>
    <mergeCell ref="A34:M34"/>
    <mergeCell ref="N34:O34"/>
    <mergeCell ref="A35:M35"/>
    <mergeCell ref="N35:O35"/>
    <mergeCell ref="A30:M30"/>
    <mergeCell ref="N30:O30"/>
    <mergeCell ref="A31:M31"/>
    <mergeCell ref="N31:O31"/>
    <mergeCell ref="A32:M32"/>
    <mergeCell ref="N32:O32"/>
    <mergeCell ref="N27:O27"/>
    <mergeCell ref="A28:M28"/>
    <mergeCell ref="N28:O28"/>
    <mergeCell ref="A29:M29"/>
    <mergeCell ref="N29:O29"/>
    <mergeCell ref="A46:O46"/>
    <mergeCell ref="A25:O25"/>
    <mergeCell ref="H22:K22"/>
    <mergeCell ref="A22:C23"/>
    <mergeCell ref="D22:G22"/>
    <mergeCell ref="A24:O24"/>
    <mergeCell ref="A39:M39"/>
    <mergeCell ref="N39:O39"/>
    <mergeCell ref="A44:M44"/>
    <mergeCell ref="N44:O44"/>
    <mergeCell ref="A45:M45"/>
    <mergeCell ref="N45:O45"/>
    <mergeCell ref="A26:M26"/>
    <mergeCell ref="N26:O26"/>
    <mergeCell ref="L23:O23"/>
    <mergeCell ref="A27:M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A14:B14"/>
    <mergeCell ref="I7:I8"/>
    <mergeCell ref="J7:K8"/>
    <mergeCell ref="L7:O7"/>
    <mergeCell ref="L8:M8"/>
    <mergeCell ref="H7:H8"/>
    <mergeCell ref="N8:O8"/>
    <mergeCell ref="D1:O1"/>
    <mergeCell ref="D2:O2"/>
    <mergeCell ref="A3:E3"/>
    <mergeCell ref="F3:O3"/>
    <mergeCell ref="A4:E4"/>
    <mergeCell ref="F4:O4"/>
    <mergeCell ref="A1:C2"/>
    <mergeCell ref="A9:D9"/>
    <mergeCell ref="F9:G9"/>
    <mergeCell ref="L22:O22"/>
    <mergeCell ref="D23:G23"/>
    <mergeCell ref="H23:K23"/>
    <mergeCell ref="A11:O11"/>
  </mergeCells>
  <dataValidations disablePrompts="1" count="1">
    <dataValidation type="list" allowBlank="1" showInputMessage="1" showErrorMessage="1" sqref="J9:O9">
      <formula1>$Q$48:$Q$60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SET SP Tarquí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TARQUI-18</vt:lpstr>
      <vt:lpstr>'TARQUI-18'!Área_de_impresión</vt:lpstr>
      <vt:lpstr>'SET SP Tarquí'!Títulos_a_imprimir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2015-08-17T02:32:09Z</cp:lastPrinted>
  <dcterms:created xsi:type="dcterms:W3CDTF">2010-03-16T20:37:23Z</dcterms:created>
  <dcterms:modified xsi:type="dcterms:W3CDTF">2019-03-06T22:46:59Z</dcterms:modified>
</cp:coreProperties>
</file>